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100 Mother Books\02-Product\09 Stavební připravenost\Guardy\CZ\"/>
    </mc:Choice>
  </mc:AlternateContent>
  <xr:revisionPtr revIDLastSave="0" documentId="8_{15EDEEEF-DD44-4B39-A54B-B2E65C6965D8}" xr6:coauthVersionLast="47" xr6:coauthVersionMax="47" xr10:uidLastSave="{00000000-0000-0000-0000-000000000000}"/>
  <bookViews>
    <workbookView xWindow="-120" yWindow="-120" windowWidth="29040" windowHeight="15840" xr2:uid="{00DEC1EF-281E-4290-846B-D902058E08AD}"/>
  </bookViews>
  <sheets>
    <sheet name="LHR-C" sheetId="1" r:id="rId1"/>
    <sheet name="Translation" sheetId="2" state="hidden" r:id="rId2"/>
    <sheet name="Selections" sheetId="3" state="hidden" r:id="rId3"/>
  </sheets>
  <definedNames>
    <definedName name="_xlnm.Print_Area" localSheetId="0">'LHR-C'!$A$1:$AC$68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8" i="3" l="1"/>
  <c r="L98" i="3"/>
  <c r="K98" i="3"/>
  <c r="N97" i="3"/>
  <c r="L97" i="3"/>
  <c r="K97" i="3"/>
  <c r="N96" i="3"/>
  <c r="K96" i="3" s="1"/>
  <c r="L96" i="3"/>
  <c r="N95" i="3"/>
  <c r="L95" i="3"/>
  <c r="K95" i="3"/>
  <c r="N94" i="3"/>
  <c r="K94" i="3"/>
  <c r="I94" i="3"/>
  <c r="N92" i="3"/>
  <c r="K92" i="3" s="1"/>
  <c r="L92" i="3"/>
  <c r="N91" i="3"/>
  <c r="K91" i="3" s="1"/>
  <c r="L91" i="3"/>
  <c r="N90" i="3"/>
  <c r="L90" i="3"/>
  <c r="K90" i="3"/>
  <c r="N89" i="3"/>
  <c r="L89" i="3"/>
  <c r="K89" i="3"/>
  <c r="C89" i="3"/>
  <c r="N88" i="3"/>
  <c r="K88" i="3"/>
  <c r="C88" i="3"/>
  <c r="Q86" i="3"/>
  <c r="I86" i="3"/>
  <c r="C86" i="3"/>
  <c r="Q80" i="3"/>
  <c r="N80" i="3"/>
  <c r="K80" i="3"/>
  <c r="Q76" i="3"/>
  <c r="N76" i="3"/>
  <c r="K76" i="3"/>
  <c r="C73" i="3"/>
  <c r="Q72" i="3"/>
  <c r="N72" i="3"/>
  <c r="K72" i="3"/>
  <c r="C72" i="3"/>
  <c r="T70" i="3"/>
  <c r="I70" i="3"/>
  <c r="C70" i="3"/>
  <c r="N64" i="3"/>
  <c r="L64" i="3"/>
  <c r="K64" i="3"/>
  <c r="N63" i="3"/>
  <c r="L63" i="3"/>
  <c r="K63" i="3"/>
  <c r="N62" i="3"/>
  <c r="K62" i="3" s="1"/>
  <c r="L62" i="3"/>
  <c r="N61" i="3"/>
  <c r="L61" i="3"/>
  <c r="K61" i="3"/>
  <c r="I61" i="3"/>
  <c r="N60" i="3"/>
  <c r="K60" i="3"/>
  <c r="F60" i="3"/>
  <c r="C60" i="3"/>
  <c r="F59" i="3"/>
  <c r="C59" i="3"/>
  <c r="I59" i="3" s="1"/>
  <c r="N58" i="3"/>
  <c r="L58" i="3"/>
  <c r="K58" i="3"/>
  <c r="F58" i="3"/>
  <c r="N57" i="3"/>
  <c r="L57" i="3"/>
  <c r="K57" i="3"/>
  <c r="I57" i="3"/>
  <c r="F57" i="3"/>
  <c r="N56" i="3"/>
  <c r="L56" i="3"/>
  <c r="K56" i="3"/>
  <c r="F56" i="3"/>
  <c r="N55" i="3"/>
  <c r="L55" i="3"/>
  <c r="K55" i="3"/>
  <c r="F55" i="3"/>
  <c r="C55" i="3"/>
  <c r="N54" i="3"/>
  <c r="K54" i="3"/>
  <c r="F54" i="3"/>
  <c r="C54" i="3"/>
  <c r="I58" i="3" s="1"/>
  <c r="I52" i="3"/>
  <c r="C52" i="3"/>
  <c r="Q46" i="3"/>
  <c r="N46" i="3"/>
  <c r="K46" i="3"/>
  <c r="F44" i="3"/>
  <c r="H43" i="3"/>
  <c r="F43" i="3"/>
  <c r="Q42" i="3"/>
  <c r="N42" i="3"/>
  <c r="K42" i="3"/>
  <c r="H42" i="3"/>
  <c r="F42" i="3"/>
  <c r="F41" i="3"/>
  <c r="F40" i="3"/>
  <c r="F39" i="3"/>
  <c r="Q38" i="3"/>
  <c r="N38" i="3"/>
  <c r="K38" i="3"/>
  <c r="F38" i="3"/>
  <c r="N32" i="3"/>
  <c r="K32" i="3" s="1"/>
  <c r="L32" i="3"/>
  <c r="N31" i="3"/>
  <c r="L31" i="3"/>
  <c r="K31" i="3"/>
  <c r="N30" i="3"/>
  <c r="L30" i="3"/>
  <c r="K30" i="3"/>
  <c r="N29" i="3"/>
  <c r="L29" i="3"/>
  <c r="K29" i="3"/>
  <c r="N28" i="3"/>
  <c r="K28" i="3"/>
  <c r="N26" i="3"/>
  <c r="L26" i="3"/>
  <c r="K26" i="3"/>
  <c r="N25" i="3"/>
  <c r="L25" i="3"/>
  <c r="K25" i="3"/>
  <c r="I25" i="3"/>
  <c r="N24" i="3"/>
  <c r="K24" i="3" s="1"/>
  <c r="L24" i="3"/>
  <c r="N23" i="3"/>
  <c r="K23" i="3" s="1"/>
  <c r="L23" i="3"/>
  <c r="C23" i="3"/>
  <c r="N22" i="3"/>
  <c r="K22" i="3"/>
  <c r="F22" i="3"/>
  <c r="C22" i="3"/>
  <c r="I20" i="3"/>
  <c r="C20" i="3"/>
  <c r="Q13" i="3"/>
  <c r="N13" i="3"/>
  <c r="K13" i="3"/>
  <c r="Q9" i="3"/>
  <c r="N9" i="3"/>
  <c r="K9" i="3"/>
  <c r="C6" i="3"/>
  <c r="Q5" i="3"/>
  <c r="N5" i="3"/>
  <c r="K5" i="3"/>
  <c r="F5" i="3"/>
  <c r="C5" i="3"/>
  <c r="I3" i="3"/>
  <c r="C3" i="3"/>
  <c r="E2" i="2"/>
  <c r="E54" i="2" s="1"/>
  <c r="S58" i="1"/>
  <c r="AC57" i="1"/>
  <c r="Z57" i="1"/>
  <c r="W57" i="1"/>
  <c r="S57" i="1"/>
  <c r="S56" i="1"/>
  <c r="S55" i="1"/>
  <c r="V54" i="1"/>
  <c r="S54" i="1"/>
  <c r="S53" i="1"/>
  <c r="AC52" i="1"/>
  <c r="Z52" i="1"/>
  <c r="W52" i="1"/>
  <c r="Y51" i="1"/>
  <c r="AB51" i="1" s="1"/>
  <c r="X51" i="1"/>
  <c r="AA51" i="1" s="1"/>
  <c r="S49" i="1"/>
  <c r="U45" i="1"/>
  <c r="S45" i="1"/>
  <c r="U44" i="1"/>
  <c r="S44" i="1"/>
  <c r="U43" i="1"/>
  <c r="S43" i="1"/>
  <c r="U42" i="1"/>
  <c r="S42" i="1"/>
  <c r="U41" i="1"/>
  <c r="S41" i="1"/>
  <c r="U40" i="1"/>
  <c r="S40" i="1"/>
  <c r="U39" i="1"/>
  <c r="Z38" i="1"/>
  <c r="M34" i="1"/>
  <c r="L34" i="1"/>
  <c r="G34" i="1"/>
  <c r="N15" i="1"/>
  <c r="M14" i="1"/>
  <c r="I13" i="1"/>
  <c r="H12" i="1"/>
  <c r="H11" i="1"/>
  <c r="Z8" i="1"/>
  <c r="S8" i="1"/>
  <c r="Q33" i="1" s="1"/>
  <c r="Z6" i="1"/>
  <c r="S6" i="1"/>
  <c r="P33" i="1" s="1"/>
  <c r="Z4" i="1"/>
  <c r="S4" i="1"/>
  <c r="K3" i="1"/>
  <c r="S2" i="1"/>
  <c r="E3" i="2" l="1"/>
  <c r="E4" i="2"/>
  <c r="E5" i="2"/>
  <c r="E6" i="2"/>
  <c r="W37" i="1" s="1"/>
  <c r="E7" i="2"/>
  <c r="Z37" i="1" s="1"/>
  <c r="E8" i="2"/>
  <c r="U24" i="1" s="1"/>
  <c r="E9" i="2"/>
  <c r="E10" i="2"/>
  <c r="U25" i="1" s="1"/>
  <c r="E11" i="2"/>
  <c r="R6" i="1" s="1"/>
  <c r="E12" i="2"/>
  <c r="U21" i="1" s="1"/>
  <c r="E13" i="2"/>
  <c r="R2" i="1" s="1"/>
  <c r="E14" i="2"/>
  <c r="U28" i="1" s="1"/>
  <c r="E15" i="2"/>
  <c r="Y4" i="1" s="1"/>
  <c r="E16" i="2"/>
  <c r="U22" i="1" s="1"/>
  <c r="E17" i="2"/>
  <c r="R4" i="1" s="1"/>
  <c r="E18" i="2"/>
  <c r="U29" i="1" s="1"/>
  <c r="E19" i="2"/>
  <c r="Y6" i="1" s="1"/>
  <c r="E20" i="2"/>
  <c r="U30" i="1" s="1"/>
  <c r="E21" i="2"/>
  <c r="Y8" i="1" s="1"/>
  <c r="E22" i="2"/>
  <c r="U26" i="1" s="1"/>
  <c r="E23" i="2"/>
  <c r="U27" i="1" s="1"/>
  <c r="E24" i="2"/>
  <c r="E25" i="2"/>
  <c r="E26" i="2"/>
  <c r="U20" i="1" s="1"/>
  <c r="E27" i="2"/>
  <c r="I4" i="1" s="1"/>
  <c r="E28" i="2"/>
  <c r="E29" i="2"/>
  <c r="E30" i="2"/>
  <c r="E31" i="2"/>
  <c r="AB66" i="1" s="1"/>
  <c r="E32" i="2"/>
  <c r="AC66" i="1" s="1"/>
  <c r="E33" i="2"/>
  <c r="U31" i="1" s="1"/>
  <c r="E34" i="2"/>
  <c r="C24" i="1" s="1"/>
  <c r="E35" i="2"/>
  <c r="C25" i="1" s="1"/>
  <c r="E36" i="2"/>
  <c r="U19" i="1" s="1"/>
  <c r="E37" i="2"/>
  <c r="I2" i="1" s="1"/>
  <c r="E38" i="2"/>
  <c r="E39" i="2"/>
  <c r="C38" i="3" s="1"/>
  <c r="I42" i="3" s="1"/>
  <c r="E40" i="2"/>
  <c r="C39" i="3" s="1"/>
  <c r="E41" i="2"/>
  <c r="U23" i="1" s="1"/>
  <c r="E42" i="2"/>
  <c r="E43" i="2"/>
  <c r="E44" i="2"/>
  <c r="E45" i="2"/>
  <c r="I8" i="1" s="1"/>
  <c r="E46" i="2"/>
  <c r="C43" i="3" s="1"/>
  <c r="I43" i="3" s="1"/>
  <c r="E47" i="2"/>
  <c r="C44" i="3" s="1"/>
  <c r="E48" i="2"/>
  <c r="E49" i="2"/>
  <c r="E50" i="2"/>
  <c r="U32" i="1" s="1"/>
  <c r="E51" i="2"/>
  <c r="U35" i="1" s="1"/>
  <c r="E52" i="2"/>
  <c r="B53" i="1" s="1"/>
  <c r="E53" i="2"/>
  <c r="I6" i="1" l="1"/>
  <c r="C36" i="3"/>
  <c r="Y2" i="1"/>
  <c r="I36" i="3"/>
  <c r="R8" i="1"/>
  <c r="I41" i="3"/>
</calcChain>
</file>

<file path=xl/sharedStrings.xml><?xml version="1.0" encoding="utf-8"?>
<sst xmlns="http://schemas.openxmlformats.org/spreadsheetml/2006/main" count="556" uniqueCount="478">
  <si>
    <t>Zvolte jazyk</t>
  </si>
  <si>
    <t>Select a language</t>
  </si>
  <si>
    <t>Wählen Sie eine Sprache:</t>
  </si>
  <si>
    <t>CZ</t>
  </si>
  <si>
    <t>Wybierz język:</t>
  </si>
  <si>
    <t>Sélectionner une langue:</t>
  </si>
  <si>
    <t>Kies een taal:</t>
  </si>
  <si>
    <t xml:space="preserve">  Z</t>
  </si>
  <si>
    <t xml:space="preserve">Y1 = 400         </t>
  </si>
  <si>
    <t>W</t>
  </si>
  <si>
    <t>H</t>
  </si>
  <si>
    <t>D</t>
  </si>
  <si>
    <t>K</t>
  </si>
  <si>
    <t>F</t>
  </si>
  <si>
    <t>CEL</t>
  </si>
  <si>
    <t>CPH</t>
  </si>
  <si>
    <t>Y1</t>
  </si>
  <si>
    <t>Y2</t>
  </si>
  <si>
    <t>X</t>
  </si>
  <si>
    <t>E1</t>
  </si>
  <si>
    <t>E2</t>
  </si>
  <si>
    <t>Z</t>
  </si>
  <si>
    <r>
      <t>*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</si>
  <si>
    <r>
      <t>*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</si>
  <si>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&gt;</t>
  </si>
  <si>
    <t>&lt;=</t>
  </si>
  <si>
    <t>min. CEL</t>
  </si>
  <si>
    <r>
      <t>CPH*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</si>
  <si>
    <r>
      <t>CPH*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*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</si>
  <si>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H - 47</t>
  </si>
  <si>
    <t>H + 90
(H + 125)</t>
  </si>
  <si>
    <t>H - 75</t>
  </si>
  <si>
    <t>H + 125
(H + 160)</t>
  </si>
  <si>
    <t>Black</t>
  </si>
  <si>
    <t>RUN 600</t>
  </si>
  <si>
    <t>Cube</t>
  </si>
  <si>
    <t>&gt;=90</t>
  </si>
  <si>
    <t xml:space="preserve">  &gt;=90</t>
  </si>
  <si>
    <t>http://door-documents.com/en/guardy-installation-drawing-lhr-c</t>
  </si>
  <si>
    <t>Guardy LHR-C</t>
  </si>
  <si>
    <t>A4</t>
  </si>
  <si>
    <t>LHF-C</t>
  </si>
  <si>
    <t>LHF-C-Ki</t>
  </si>
  <si>
    <t>LHR-C</t>
  </si>
  <si>
    <t>LHR-C-Ki</t>
  </si>
  <si>
    <t>EN</t>
  </si>
  <si>
    <t>DE</t>
  </si>
  <si>
    <t>PL</t>
  </si>
  <si>
    <t>FR</t>
  </si>
  <si>
    <t>NL</t>
  </si>
  <si>
    <t>ET</t>
  </si>
  <si>
    <t>FI</t>
  </si>
  <si>
    <t>Obecná</t>
  </si>
  <si>
    <t>General</t>
  </si>
  <si>
    <t>Allgemeine</t>
  </si>
  <si>
    <t xml:space="preserve">Ogólna </t>
  </si>
  <si>
    <t>Hauteur</t>
  </si>
  <si>
    <t>Algemene</t>
  </si>
  <si>
    <t>Üldine</t>
  </si>
  <si>
    <t>Yleinen</t>
  </si>
  <si>
    <t>výška [mm]</t>
  </si>
  <si>
    <t>height [mm]</t>
  </si>
  <si>
    <t>Höhe [mm]</t>
  </si>
  <si>
    <t>wysokość [mm]</t>
  </si>
  <si>
    <t>Générale [mm]</t>
  </si>
  <si>
    <t>hoogte [mm]</t>
  </si>
  <si>
    <t>kõrgus [mm]</t>
  </si>
  <si>
    <t>Korkeus [mm]</t>
  </si>
  <si>
    <t>Min. výška stropu [mm]</t>
  </si>
  <si>
    <t>Min. height of ceiling [mm]</t>
  </si>
  <si>
    <t>Min. Deckenhöhe [mm]</t>
  </si>
  <si>
    <t>Min wysokość stropu [mm]</t>
  </si>
  <si>
    <t>Hauteur minimale du plafond [mm]</t>
  </si>
  <si>
    <t>Min. plafondhoogte [mm]</t>
  </si>
  <si>
    <t>Min. lae kõrgus [mm]</t>
  </si>
  <si>
    <t>Min. katon korkeus [mm]</t>
  </si>
  <si>
    <t>Vrata bez motoru</t>
  </si>
  <si>
    <t>Manually operated</t>
  </si>
  <si>
    <t>Tor ohne Motor</t>
  </si>
  <si>
    <t>Brama bez napędu</t>
  </si>
  <si>
    <t>Porte sans moteur</t>
  </si>
  <si>
    <t>Deur zonder motor</t>
  </si>
  <si>
    <t>Käsitsi juhitav</t>
  </si>
  <si>
    <t>Käsikäyttöinen</t>
  </si>
  <si>
    <t>Vrata s motorem</t>
  </si>
  <si>
    <t>Electric. operated</t>
  </si>
  <si>
    <t>Tor mit Motor</t>
  </si>
  <si>
    <t>Brama z napędem</t>
  </si>
  <si>
    <t>Porte avec moteur</t>
  </si>
  <si>
    <t>Garaged. met motor</t>
  </si>
  <si>
    <t>Elektriliselt juhitav</t>
  </si>
  <si>
    <t>Sähkökäyttöinen</t>
  </si>
  <si>
    <t>Výška stropu [mm]</t>
  </si>
  <si>
    <t>Height of ceiling [mm]</t>
  </si>
  <si>
    <t>Deckenhöhe [mm]</t>
  </si>
  <si>
    <t>Wysokość stropu [mm]</t>
  </si>
  <si>
    <t>Hauteur du plafond [mm]</t>
  </si>
  <si>
    <t>Plafondhoogte [mm]</t>
  </si>
  <si>
    <t>Lae kõrgus [mm]</t>
  </si>
  <si>
    <t>Katon korkeus [mm]</t>
  </si>
  <si>
    <t>Výška ke spodní hraně překladového profilu [mm]</t>
  </si>
  <si>
    <t>Height to bottom edge of lintel profile [mm]</t>
  </si>
  <si>
    <t>Höhe zur unteren Kante des Sturzprofiles [mm]</t>
  </si>
  <si>
    <t>Wysokość do dolnej krawędzi profilu nadproża [mm]</t>
  </si>
  <si>
    <t>Hauteur jusqu'à l'arête inférieure du profilé de linteau [mm]</t>
  </si>
  <si>
    <t>Hoogte vanaf de onderrand van het dwarsbalkprofiel [mm]</t>
  </si>
  <si>
    <t>Kõrgus silluse profiili alumise servani [mm]</t>
  </si>
  <si>
    <t>Korkeus kamanaprofiilin alareunaan [mm]</t>
  </si>
  <si>
    <t>Spodní hrana plně otevřených vrat [mm]</t>
  </si>
  <si>
    <t>Bottom edge of fully open door [mm]</t>
  </si>
  <si>
    <t>Untere Kante des vollständig geöffneten Tors [mm]</t>
  </si>
  <si>
    <t>Dolna krawędź w pełni otwartej bramy [mm]</t>
  </si>
  <si>
    <t>Arête inférieure de la porte toute ouverte [mm]</t>
  </si>
  <si>
    <t>Onderste rand van een volledig geopende deur [mm]</t>
  </si>
  <si>
    <t>Täielikult avatud ukse alumine serv [mm]</t>
  </si>
  <si>
    <t>Täysin auki olevan oven alareunan korkeus [mm]</t>
  </si>
  <si>
    <t>Spodní hrana plně otevřených vrat (CPH) [mm]</t>
  </si>
  <si>
    <t>Bottom edge of fully open door (CPH) [mm]</t>
  </si>
  <si>
    <t>Untere Kante des vollständig geöffneten Tors (CPH) [mm]</t>
  </si>
  <si>
    <t>Dolna krawędź w pełni otwartej bramy (CPH) [mm]</t>
  </si>
  <si>
    <t>Arête inférieure de la porte toute ouverte (CPH) [mm]</t>
  </si>
  <si>
    <t>Onderste rand van een volledig geopende deur (CPH) [mm]</t>
  </si>
  <si>
    <t>Täielikult avatud ukse alumine serv (CPH) [mm]</t>
  </si>
  <si>
    <t>Täysin auki olevan oven alareunan korkeus (CPH) [mm]</t>
  </si>
  <si>
    <t>Hloubka vedení [mm]</t>
  </si>
  <si>
    <t>Back room [mm]</t>
  </si>
  <si>
    <t>Führungstiefe [mm]</t>
  </si>
  <si>
    <t>Głębokość prowadzenia [mm]</t>
  </si>
  <si>
    <t>Profondeur du guidage [mm]</t>
  </si>
  <si>
    <t>Inbouwdiepte van de rails [mm]</t>
  </si>
  <si>
    <t>Tagaruum [mm]</t>
  </si>
  <si>
    <t>Syvyystila [mm]</t>
  </si>
  <si>
    <t>Hloubka vedení (D) [mm]</t>
  </si>
  <si>
    <t>Back room (D) [mm]</t>
  </si>
  <si>
    <t>Führungstiefe (D) [mm]</t>
  </si>
  <si>
    <t>Głębokość prowadzenia (D) [mm]</t>
  </si>
  <si>
    <t>Profondeur du guidage (D) [mm]</t>
  </si>
  <si>
    <t>Diepte van de geleidingsrail (D) [mm]</t>
  </si>
  <si>
    <t>Tagaruum (D) [mm]</t>
  </si>
  <si>
    <t>Syvyystila (D) [mm]</t>
  </si>
  <si>
    <t>Délka pohonu [mm]</t>
  </si>
  <si>
    <t>Length of motor [mm]</t>
  </si>
  <si>
    <t>Antriebslänge [mm]</t>
  </si>
  <si>
    <t>Długość napędu [mm]</t>
  </si>
  <si>
    <t>Longueur de la propulsion [mm]</t>
  </si>
  <si>
    <t>Inbouwdiepte incl. de aandrijving [mm]</t>
  </si>
  <si>
    <t>Mootori pikkus [mm]</t>
  </si>
  <si>
    <t>Avaajan kokonaispituus [mm]</t>
  </si>
  <si>
    <t>Délka pohonu (X) [mm]</t>
  </si>
  <si>
    <t>Length of motor (X) [mm]</t>
  </si>
  <si>
    <t>Antriebslänge (X) [mm]</t>
  </si>
  <si>
    <t>Długość napędu (X) [mm]</t>
  </si>
  <si>
    <t>Longueur de la propulsion (X) [mm]</t>
  </si>
  <si>
    <t>Inbouwdiepte incl. de aandrijving (X) [mm]</t>
  </si>
  <si>
    <t>Mootori pikkus (X) [mm]</t>
  </si>
  <si>
    <t>Avaajan kokonaispituus (X) [mm]</t>
  </si>
  <si>
    <t>Spodní hrana horizontálního vedení [mm]</t>
  </si>
  <si>
    <t>Bottom edge of horizontal tracks [mm]</t>
  </si>
  <si>
    <r>
      <t>Untere Kante der H</t>
    </r>
    <r>
      <rPr>
        <sz val="11"/>
        <color theme="1"/>
        <rFont val="Calibri"/>
        <family val="2"/>
        <charset val="238"/>
        <scheme val="minor"/>
      </rPr>
      <t>orizontalführung [mm]</t>
    </r>
  </si>
  <si>
    <t>Dolna krawędź prowadzenia poziomego [mm]</t>
  </si>
  <si>
    <r>
      <t>Arête inférieure du guidage</t>
    </r>
    <r>
      <rPr>
        <sz val="11"/>
        <color theme="1"/>
        <rFont val="Calibri"/>
        <family val="2"/>
        <charset val="238"/>
        <scheme val="minor"/>
      </rPr>
      <t xml:space="preserve"> horizontale [mm]</t>
    </r>
  </si>
  <si>
    <t>Onderste rand van de horizontale rails [mm]</t>
  </si>
  <si>
    <t>Horisontaalsete siinide alumine serv [mm]</t>
  </si>
  <si>
    <t>Vaakajohteiden alareuna  [mm]</t>
  </si>
  <si>
    <t>Spodní hrana horizontálního vedení (K) [mm]</t>
  </si>
  <si>
    <t>Bottom edge of horizontal tracks (K) [mm]</t>
  </si>
  <si>
    <t>Untere Kante der Horizontalführung (K) [mm]</t>
  </si>
  <si>
    <t>Dolna krawędź prowadzenia poziomego (K) [mm]</t>
  </si>
  <si>
    <t>Arête inférieure du guidage horizontale (K) [mm]</t>
  </si>
  <si>
    <t>Onderste rand van de horizontale rails (K) [mm]</t>
  </si>
  <si>
    <t>Horisontaalsete siinde alumine serv (K) [mm]</t>
  </si>
  <si>
    <t>Vaakajohteiden alareuna (K) [mm]</t>
  </si>
  <si>
    <t>Kotvící bod lišty pohonu [mm]</t>
  </si>
  <si>
    <t>Hanging point for motor track [mm]</t>
  </si>
  <si>
    <t>Verankerungspunkt der Antriebsleiste [mm]</t>
  </si>
  <si>
    <t>Punkt uchwycenia szyny napędu [mm]</t>
  </si>
  <si>
    <t>Point d'ancrage de la glissière de propulsion [mm]</t>
  </si>
  <si>
    <t>Bevestigingspunt van de motorgeleidingsrail [mm]</t>
  </si>
  <si>
    <t>Mootorisiini riputuspunkt [mm]</t>
  </si>
  <si>
    <t>Avaajan kiskon ripustuspiste [mm]</t>
  </si>
  <si>
    <t>Kotvící bod lišty pohonu (E1) [mm]</t>
  </si>
  <si>
    <t>Hanging point for motor track (E1) [mm]</t>
  </si>
  <si>
    <t>Verankerungspunkt der Antriebsleiste (E1) [mm]</t>
  </si>
  <si>
    <t>Punkt uchwycenia szyny napędu (E1) [mm]</t>
  </si>
  <si>
    <t>Point d'ancrage de la glissière de propulsion (E1) [mm]</t>
  </si>
  <si>
    <t>Bevestigingspunt van de motorgeleidingsrail (E1) [mm]</t>
  </si>
  <si>
    <t>Mootorisiini riputuspunkt (E1) [mm]</t>
  </si>
  <si>
    <t>Avaajan kiskon ripustuspiste (E1) [mm]</t>
  </si>
  <si>
    <t>Kotvící bod pohonu [mm]</t>
  </si>
  <si>
    <t>Hanging point for motor [mm]</t>
  </si>
  <si>
    <t>Verankerungspunkt des Antriebes [mm]</t>
  </si>
  <si>
    <t>Punkt uchwycenia napędu [mm]</t>
  </si>
  <si>
    <t>Point d'ancrage de la propulsion [mm]</t>
  </si>
  <si>
    <t>Bevestigingspunt van de aandrijvingsgeleidingsbalk [mm]</t>
  </si>
  <si>
    <t>Mootori riputuspunkt [mm]</t>
  </si>
  <si>
    <t>Avaajan ripustuspiste [mm]</t>
  </si>
  <si>
    <t>Kotvící bod pohonu (E2) [mm]</t>
  </si>
  <si>
    <t>Hanging point for motor (E2) [mm]</t>
  </si>
  <si>
    <t>Verankerungspunkt des Antriebes (E2) [mm]</t>
  </si>
  <si>
    <t>Punkt uchwycenia napędu (E2) [mm]</t>
  </si>
  <si>
    <t>Point d'ancrage de la propulsion (E2) [mm]</t>
  </si>
  <si>
    <t>Bevestigingsp. van de aandrijvingsgeleidingsbalk (E2) [mm]</t>
  </si>
  <si>
    <t>Mootori riputuspunkt (E2) [mm]</t>
  </si>
  <si>
    <t>Avaajan ripustuspiste (E2) [mm]</t>
  </si>
  <si>
    <t>Kotvící bod</t>
  </si>
  <si>
    <t>Hanging point</t>
  </si>
  <si>
    <t>Verankerungspunkt</t>
  </si>
  <si>
    <t>Punkt uchwycenia</t>
  </si>
  <si>
    <t>Point d'ancrage</t>
  </si>
  <si>
    <t>Bevestigingspunt</t>
  </si>
  <si>
    <t>Riputuspunkt</t>
  </si>
  <si>
    <t>Ripustuspiste</t>
  </si>
  <si>
    <t>Kotvící bod (W&gt;3000 nebo H&gt;2500)</t>
  </si>
  <si>
    <t>Hanging point (W&gt;3000 or H&gt;2500)</t>
  </si>
  <si>
    <t>Verankerungspunkt (W&gt;3000 oder H&gt;2500)</t>
  </si>
  <si>
    <t>Punkt uchwycenia (W&gt;3000 lub H&gt;2500)</t>
  </si>
  <si>
    <t>Point d'ancrage (W&gt;3000 ou H&gt;2500)</t>
  </si>
  <si>
    <t>Bevestigingspunt (W&gt;3000 of H&gt;2500)</t>
  </si>
  <si>
    <t>Riputuspunkt (W&gt;3000 või H&gt;2500)</t>
  </si>
  <si>
    <t>Ripustuspiste (W&gt;3000 või H&gt;2500)</t>
  </si>
  <si>
    <t>Standardní montáž</t>
  </si>
  <si>
    <t>Standard installation</t>
  </si>
  <si>
    <t>Standardmontage</t>
  </si>
  <si>
    <t>Instalacja standardowa</t>
  </si>
  <si>
    <t>Assemblage standard</t>
  </si>
  <si>
    <t>Standaardmontage</t>
  </si>
  <si>
    <t>Standard paigaldus</t>
  </si>
  <si>
    <t>Tavallinen asennusmenetelmä</t>
  </si>
  <si>
    <t>Alternativní montáž</t>
  </si>
  <si>
    <t>Alternative installation</t>
  </si>
  <si>
    <t>Alternative Montage</t>
  </si>
  <si>
    <t>Instalacja alternatywna</t>
  </si>
  <si>
    <t xml:space="preserve">Assemblage alternatif </t>
  </si>
  <si>
    <t>Alternatieve montage</t>
  </si>
  <si>
    <t>Alternatiivne paigaldus</t>
  </si>
  <si>
    <t>Vaihtoehtoinen asennusmenetelmä</t>
  </si>
  <si>
    <t>Výška stavebního otvoru [mm]</t>
  </si>
  <si>
    <t>Clear opening height [mm]</t>
  </si>
  <si>
    <t>Höhe der Bauöffnung [mm]</t>
  </si>
  <si>
    <t>Wysokość otworu budowlanego [mm]</t>
  </si>
  <si>
    <t>Hauteur de la baie de construction [mm]</t>
  </si>
  <si>
    <t>Dagmaat hoogte [mm]</t>
  </si>
  <si>
    <t>Puhas avanemiskõrgus [mm]</t>
  </si>
  <si>
    <t>Oviaukon korkeus [mm]</t>
  </si>
  <si>
    <t>Výška stavebního otvoru (H) [mm]</t>
  </si>
  <si>
    <t>Clear opening height (H) [mm]</t>
  </si>
  <si>
    <t>Höhe der Bauöffnung (H) [mm]</t>
  </si>
  <si>
    <t>Wysokość otworu budowlanego (H) [mm]</t>
  </si>
  <si>
    <t>Hauteur de la baie de construction (H) [mm]</t>
  </si>
  <si>
    <t>Dagmaat hoogte (H) [mm]</t>
  </si>
  <si>
    <t>Puhas avanemiskõrgus (H) [mm]</t>
  </si>
  <si>
    <t>Oviaukon korkeus (H) [mm]</t>
  </si>
  <si>
    <t>Standardní situace</t>
  </si>
  <si>
    <t>Standard situation</t>
  </si>
  <si>
    <t>Standardsituation</t>
  </si>
  <si>
    <t>Sytuacja standardowa</t>
  </si>
  <si>
    <t>Situation standard</t>
  </si>
  <si>
    <t>Standaardsituatie</t>
  </si>
  <si>
    <t>Standardne olukord</t>
  </si>
  <si>
    <t>Vakiotilanne</t>
  </si>
  <si>
    <t>Nestandardní situace</t>
  </si>
  <si>
    <t>Non-standard situation</t>
  </si>
  <si>
    <t>Ungewöhnliche Situation</t>
  </si>
  <si>
    <t>Sytuacja niestandardowa</t>
  </si>
  <si>
    <t>Situation hors de standard</t>
  </si>
  <si>
    <t>Niet-standaardsituaties</t>
  </si>
  <si>
    <t>Ebastandardne olukord</t>
  </si>
  <si>
    <t>Epätyypillinen tilanne</t>
  </si>
  <si>
    <t>Skladba panelů a design křídla je vždy řešen vůči FOH.</t>
  </si>
  <si>
    <t>Panel assembly and design of door leaf is always considered based on FOH.</t>
  </si>
  <si>
    <t>Die Paneelaufteilung und das Design des Torblattes wird immer auf der Basis von FOH-Mass gelöst.</t>
  </si>
  <si>
    <t>Skład paneli i konstrukcja skrzydła jest zawsze rozpatrywane na podstawie FOH.</t>
  </si>
  <si>
    <t>Assemblage de panneau et la conception de battant de porte est toujours considéré comme la base de FOH.</t>
  </si>
  <si>
    <t>Paneel samenstelling en complete opbouw van het deurblad wordt altijd  gebaseerd op FOH.</t>
  </si>
  <si>
    <t>Verze:</t>
  </si>
  <si>
    <t>Version:</t>
  </si>
  <si>
    <t>Wersja:</t>
  </si>
  <si>
    <t>VERSION:</t>
  </si>
  <si>
    <t>Versie:</t>
  </si>
  <si>
    <t>Versioon:</t>
  </si>
  <si>
    <t>Versio:</t>
  </si>
  <si>
    <t>Formát:</t>
  </si>
  <si>
    <t>Sheet:</t>
  </si>
  <si>
    <t>Format:</t>
  </si>
  <si>
    <t>FORMAT:</t>
  </si>
  <si>
    <t>Formaat:</t>
  </si>
  <si>
    <t>Leht:</t>
  </si>
  <si>
    <t>Koko:</t>
  </si>
  <si>
    <t>Pozice zásuvky, cca. 250 mm</t>
  </si>
  <si>
    <t>Position of socket, ca. 250 mm</t>
  </si>
  <si>
    <t>Die Position der Steckdose ca.250 mm</t>
  </si>
  <si>
    <t>Położenie gniazda około 250 mm</t>
  </si>
  <si>
    <t>La position de la prise électrique env. 250 mm</t>
  </si>
  <si>
    <t>Positie van Eurostopcontact CEE, ca. 250mm</t>
  </si>
  <si>
    <t>Pistikupesa asend, ca. 250 mm</t>
  </si>
  <si>
    <t>Pistorasian sijainti, ca. 250 mm</t>
  </si>
  <si>
    <t>Zásuvka typu CEE 7/3 nebo CEE 7/5</t>
  </si>
  <si>
    <t>CEE 7/3 or CEE 7/5 socket</t>
  </si>
  <si>
    <t>Steckdose CEE 7/3 oder CEE 7/5</t>
  </si>
  <si>
    <t>Gniazdo CEE 7/3 lub CEE 7/5</t>
  </si>
  <si>
    <t>Prise CEE 7/3 ou CEE 7/5</t>
  </si>
  <si>
    <t>Eurostopcontact CEE 7/3 of CEE 7/5</t>
  </si>
  <si>
    <t>CEE 7/3 või CEE 7/5 pistikupesa</t>
  </si>
  <si>
    <t>CEE 7/3 või CEE 7/5 pistorasia</t>
  </si>
  <si>
    <t>230V, 50Hz, jištěno 6 A (10 A) jističem</t>
  </si>
  <si>
    <t>230V, 50Hz, protect by 6 A (10 A) circuit breaker</t>
  </si>
  <si>
    <t>230V, 50Hz, Sicherung 6 A (10 A) mit Schutzschalter</t>
  </si>
  <si>
    <t>230V, 50Hz, ochrona za pomocą bezpiecznika 6A (10A)</t>
  </si>
  <si>
    <t>230V, 50Hz, assuré par un disjoncteur 6 A (10 A)</t>
  </si>
  <si>
    <t>230V, 50Hz, afgezekerd met 6A (10A)</t>
  </si>
  <si>
    <t>230V, 50Hz,kaitsta 6 A (10 A) kaitselülitiga</t>
  </si>
  <si>
    <t>230V, 50Hz, 6 A (10 A) suojakytkimellä</t>
  </si>
  <si>
    <t>Šířka stavebního otvoru [mm]</t>
  </si>
  <si>
    <t>Opening width [mm]</t>
  </si>
  <si>
    <t>Lichte Breite [mm]</t>
  </si>
  <si>
    <t>Szerokość otworu [mm]</t>
  </si>
  <si>
    <t>Largeur de baie [mm]</t>
  </si>
  <si>
    <t xml:space="preserve">Opening breedte </t>
  </si>
  <si>
    <t>Ava laius [mm]</t>
  </si>
  <si>
    <t>Oviaukon leveys [mm]</t>
  </si>
  <si>
    <t>Šířka stavebního otvoru (W) [mm]</t>
  </si>
  <si>
    <t>Opening width (W) [mm]</t>
  </si>
  <si>
    <t>Lichte Breite (W) [mm]</t>
  </si>
  <si>
    <t>Szerokość otworu (W) [mm]</t>
  </si>
  <si>
    <t>Largeur de baie (W) [mm]</t>
  </si>
  <si>
    <t>Opening breedte (W) [mm]</t>
  </si>
  <si>
    <t>Ava laius (W) [mm]</t>
  </si>
  <si>
    <t>Oviaukon leveys (L) [mm]</t>
  </si>
  <si>
    <t>Ovládání</t>
  </si>
  <si>
    <t>Operated</t>
  </si>
  <si>
    <t>Bedienung</t>
  </si>
  <si>
    <t>Sterowanie</t>
  </si>
  <si>
    <t>Commande</t>
  </si>
  <si>
    <t>Bediening</t>
  </si>
  <si>
    <t>Opereeritud</t>
  </si>
  <si>
    <t>Käyttötapa</t>
  </si>
  <si>
    <t>ručně</t>
  </si>
  <si>
    <t>manually</t>
  </si>
  <si>
    <t>händisch</t>
  </si>
  <si>
    <t>ręcznie wykonany</t>
  </si>
  <si>
    <t>manuelle</t>
  </si>
  <si>
    <t>handbediend</t>
  </si>
  <si>
    <t>käsitsi</t>
  </si>
  <si>
    <t>elektricky</t>
  </si>
  <si>
    <t xml:space="preserve">electrical </t>
  </si>
  <si>
    <t>elektrisch</t>
  </si>
  <si>
    <t>elektrycznie</t>
  </si>
  <si>
    <t>motorisée</t>
  </si>
  <si>
    <t>elektriliselt</t>
  </si>
  <si>
    <t>Výška nádpraží [mm]</t>
  </si>
  <si>
    <t>Height of lintel [mm]</t>
  </si>
  <si>
    <t>Freiraum über Sturz [mm]</t>
  </si>
  <si>
    <t>Wysokość nadproża [mm]</t>
  </si>
  <si>
    <t>Retombée de linteau [mm]</t>
  </si>
  <si>
    <t>Hoogte van de latei [mm]</t>
  </si>
  <si>
    <t>Silluse kõrgus [mm]</t>
  </si>
  <si>
    <t>Kamanan korkeus [mm]</t>
  </si>
  <si>
    <t>Výška nádpraží (F) [mm]</t>
  </si>
  <si>
    <t>Height of lintel (F) [mm]</t>
  </si>
  <si>
    <t>Freiraum über Sturz (F) [mm]</t>
  </si>
  <si>
    <t>Wysokość nadproża (F) [mm]</t>
  </si>
  <si>
    <t>Retombée de linteau (F) [mm]</t>
  </si>
  <si>
    <t>Hoogte van de latei (F) [mm]</t>
  </si>
  <si>
    <t>Silluse kõrgus (F) [mm]</t>
  </si>
  <si>
    <t>Kamanan korkeus (F) [mm]</t>
  </si>
  <si>
    <t>Typ pohonu</t>
  </si>
  <si>
    <t>Type of motor</t>
  </si>
  <si>
    <t>Der Typ des Antriebs</t>
  </si>
  <si>
    <t>Rodzaj napędu</t>
  </si>
  <si>
    <t>Type de motor</t>
  </si>
  <si>
    <t>Type motor</t>
  </si>
  <si>
    <t>Mootori tüüp</t>
  </si>
  <si>
    <t>Avaajan malli</t>
  </si>
  <si>
    <t>Informace o motoru</t>
  </si>
  <si>
    <t>Information regarding motor</t>
  </si>
  <si>
    <t>Die Information über den Antrieb</t>
  </si>
  <si>
    <t>Informacje o napędu</t>
  </si>
  <si>
    <t>Information concernant le moteur</t>
  </si>
  <si>
    <t>Informatie betreffende de motor</t>
  </si>
  <si>
    <t>Teave mootori kohta</t>
  </si>
  <si>
    <t>Sähköistä avajaa koskevat tiedot</t>
  </si>
  <si>
    <t>Umístění horního těsnění</t>
  </si>
  <si>
    <t>Placement of top sealing</t>
  </si>
  <si>
    <t>Die Unterbringung der Oberdichtung</t>
  </si>
  <si>
    <t>Umieszczenie górnego uszczelnienia</t>
  </si>
  <si>
    <t>Emplacement du joint d'étanchéité</t>
  </si>
  <si>
    <t>Plaatsing van de top afdichting</t>
  </si>
  <si>
    <t>Ülemise tihendi paigaldamine</t>
  </si>
  <si>
    <t>Ylätiivisteen sijoitus</t>
  </si>
  <si>
    <t>na překladu</t>
  </si>
  <si>
    <t>at lintel</t>
  </si>
  <si>
    <t xml:space="preserve">Auf dem Sturz </t>
  </si>
  <si>
    <t>Na nadprožu</t>
  </si>
  <si>
    <t>au linteau</t>
  </si>
  <si>
    <t>op de latei</t>
  </si>
  <si>
    <t>sillusel</t>
  </si>
  <si>
    <t>Kamanassa</t>
  </si>
  <si>
    <t>na horní sekci</t>
  </si>
  <si>
    <t>on the top section</t>
  </si>
  <si>
    <t>Auf der Obersektion</t>
  </si>
  <si>
    <t xml:space="preserve">Na górnej częśći </t>
  </si>
  <si>
    <t>sur le panneau supérieur</t>
  </si>
  <si>
    <t>boven op top paneel</t>
  </si>
  <si>
    <t>ülemise sektsioonil</t>
  </si>
  <si>
    <t>Ylälamellissa</t>
  </si>
  <si>
    <t>Verze SL vedení</t>
  </si>
  <si>
    <t>Version of SL track system</t>
  </si>
  <si>
    <t>Version der SL-Umlenkung</t>
  </si>
  <si>
    <t>SL wersja</t>
  </si>
  <si>
    <t>SL version</t>
  </si>
  <si>
    <t>Versie van SL beslagsysteem</t>
  </si>
  <si>
    <t>SL siinisüsteemi versioon</t>
  </si>
  <si>
    <t>SL nostotavan malli</t>
  </si>
  <si>
    <t>= sety bez předvrtaných otvorů ve svislém úhelníku; svislý úhelník v bílém provedení (RAL 9010)</t>
  </si>
  <si>
    <t>= set without pre-drilled holes in vertical angle; vertical angle in white color (RAL 9010)</t>
  </si>
  <si>
    <t>= Zargensätze ohne vorgeborte Löcher, Ausführung in RAL 9010</t>
  </si>
  <si>
    <t>= zestawy bez wcześniej nawierconych otworów pod kątem pionowym, kąt pionowy w kolorze białym (RAL 9010)</t>
  </si>
  <si>
    <t>= Le kit sans trou percé dans le cornier vertical, le cornier vertical en exécution blanc (RAL 9010)</t>
  </si>
  <si>
    <t>= Set is zonder voorgeboorde gaten in verticale hoek; verticale hoek in kleur wit (RAL 9010)</t>
  </si>
  <si>
    <t>průjezdná výška může být snížena příslušenstvím nainstalovaným na vnitřní straně vratového křídla (madlo, výztuha apod.)</t>
  </si>
  <si>
    <t>clear height could be decreased by accessories installed on inner side of door leaf (handgrip, reinforcing strut etc.)</t>
  </si>
  <si>
    <t>Durchfahrtshöhe kann bei der Montage der Zubehörteile an die Innenseite des Torflügels reduziert werden (betrifft Handgriff, Versteifungen, etc.)</t>
  </si>
  <si>
    <t>wysokość prześwitu może zostać zmniejszona dzięki akcesoriom zainstalowanym po wewnętrznej stronie skrzydła drzwi (uchwyt, wzmocnienie itp.)</t>
  </si>
  <si>
    <t>L´ouverture de passage peut être réduite par les accessoires installés en intérieur du vantail de porte (les poignées, les renforts etc.)</t>
  </si>
  <si>
    <t>De hoogte van de vrije ruimte kan worden verlaagd door accessoires die aan de binnenkant van het deurblad zijn gemonteerd (handgreep, verstevigingsprofielen, enz.)</t>
  </si>
  <si>
    <t>puhaskõrgust saab vähendada ukselehe siseküljele paigaldatud tarvitute abil (käepide, tugevdustala jne)</t>
  </si>
  <si>
    <t>Vapaan kulkuaukon korkeus voi väheentyä ovilehteen kinnitetyn lisävarustuksen takia (jäykistin, käsikahva jne.)</t>
  </si>
  <si>
    <t>při použití zarážky vratového křídla</t>
  </si>
  <si>
    <t>when door stopper is used</t>
  </si>
  <si>
    <t>bei der Verwendung der Toorflügelsperre</t>
  </si>
  <si>
    <t>przy użyciu ogranicznika skrzydła bramy</t>
  </si>
  <si>
    <t>avec la butée pour ventail de porte</t>
  </si>
  <si>
    <t>wanneer de deurstopper wordt gebruikt</t>
  </si>
  <si>
    <t>ukselehe stopperi kasutamisel</t>
  </si>
  <si>
    <t>Ovilehden stopparia käytettäessä</t>
  </si>
  <si>
    <t>Minimální únosnost stropu/maximální zatížení v každém kotevním bodě: 100 kg</t>
  </si>
  <si>
    <t>Min. load capacity of ceiling/max. weight per hanging point: 100 kg</t>
  </si>
  <si>
    <t>Minimale Tragfähigkeit der Decke/maximale Belastung in jedem einzelnen Befestigungspunkt: 100kg</t>
  </si>
  <si>
    <t>Minimalne obciążenie sufitu / maksymalne obciążenie w każdym punkcie uchwycenia: 100 kg</t>
  </si>
  <si>
    <t>Capacité min.de charge du plafond / capacité max.de charge des points d´ancre : 100kg</t>
  </si>
  <si>
    <t>Minimaal draagvermogen van plafond/maximaal gewicht per bevestigingspunt: 100kg</t>
  </si>
  <si>
    <t>Min. lae kandevõime/max kaal ühe riputuspunkti kohta: 100 kg</t>
  </si>
  <si>
    <t>Katon min. kantavuus/ max paino per ripustuspiste: 100 kg.</t>
  </si>
  <si>
    <t>Typ lišty pohonu</t>
  </si>
  <si>
    <t>Type of motor track</t>
  </si>
  <si>
    <t>Typ der Antriebsleiste</t>
  </si>
  <si>
    <t>Typ szyny napędowej</t>
  </si>
  <si>
    <t>Type de la glissière de propulsion</t>
  </si>
  <si>
    <t>Type van de motorgeleidingsrail</t>
  </si>
  <si>
    <t>Mootorisiini tüüp</t>
  </si>
  <si>
    <t>Moottoripalkin tyyppi</t>
  </si>
  <si>
    <t>Lišta pohonu příliš krátká</t>
  </si>
  <si>
    <t>Motor track too short</t>
  </si>
  <si>
    <t>Antriebsleiste zu kurz</t>
  </si>
  <si>
    <t>Drążek napędowy za krótki</t>
  </si>
  <si>
    <t>Barre d'entraînement trop courte</t>
  </si>
  <si>
    <t>Aandrijfstang te kort</t>
  </si>
  <si>
    <t>Liiga lühike ajamiriba</t>
  </si>
  <si>
    <t>Vetopalkki liian lyhyt</t>
  </si>
  <si>
    <t>Výběr jazyka</t>
  </si>
  <si>
    <t>Hloubka vedení</t>
  </si>
  <si>
    <t>Délka pohonu</t>
  </si>
  <si>
    <t>Kotvící bod pohonu</t>
  </si>
  <si>
    <t>Kotvící bod lišty</t>
  </si>
  <si>
    <t>Výběr uložení</t>
  </si>
  <si>
    <t>Ano</t>
  </si>
  <si>
    <t>Ne</t>
  </si>
  <si>
    <t>D600</t>
  </si>
  <si>
    <t>D1000</t>
  </si>
  <si>
    <t>---</t>
  </si>
  <si>
    <t>F390119</t>
  </si>
  <si>
    <t>F390126</t>
  </si>
  <si>
    <t>F390132</t>
  </si>
  <si>
    <t>F390139</t>
  </si>
  <si>
    <t>GV-SL</t>
  </si>
  <si>
    <t>SL 350</t>
  </si>
  <si>
    <t>SL 420</t>
  </si>
  <si>
    <t>GV-SL-Ki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</si>
</sst>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right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6" xfId="0" applyBorder="1"/>
    <xf numFmtId="0" fontId="3" fillId="2" borderId="7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textRotation="90"/>
    </xf>
    <xf numFmtId="0" fontId="0" fillId="0" borderId="12" xfId="0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textRotation="90"/>
    </xf>
    <xf numFmtId="0" fontId="0" fillId="0" borderId="0" xfId="0" applyAlignment="1">
      <alignment horizontal="center" textRotation="90"/>
    </xf>
    <xf numFmtId="0" fontId="0" fillId="0" borderId="0" xfId="0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23" xfId="0" applyFont="1" applyBorder="1"/>
    <xf numFmtId="0" fontId="9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8" xfId="0" applyFont="1" applyBorder="1"/>
    <xf numFmtId="0" fontId="9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8" xfId="0" applyFont="1" applyBorder="1"/>
    <xf numFmtId="0" fontId="9" fillId="0" borderId="19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0" xfId="0" quotePrefix="1" applyAlignment="1">
      <alignment horizontal="right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3" xfId="0" applyBorder="1"/>
    <xf numFmtId="0" fontId="1" fillId="0" borderId="24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8" xfId="0" applyBorder="1"/>
    <xf numFmtId="0" fontId="1" fillId="0" borderId="29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/>
    <xf numFmtId="0" fontId="1" fillId="0" borderId="19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15" xfId="0" applyFont="1" applyBorder="1"/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0" fillId="0" borderId="48" xfId="0" applyBorder="1"/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0" fillId="0" borderId="49" xfId="0" applyBorder="1"/>
    <xf numFmtId="0" fontId="0" fillId="0" borderId="50" xfId="0" applyBorder="1"/>
    <xf numFmtId="0" fontId="0" fillId="0" borderId="53" xfId="0" applyBorder="1"/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16" fillId="0" borderId="0" xfId="0" quotePrefix="1" applyFont="1"/>
    <xf numFmtId="0" fontId="0" fillId="0" borderId="0" xfId="0" quotePrefix="1" applyAlignment="1">
      <alignment vertical="center"/>
    </xf>
    <xf numFmtId="0" fontId="1" fillId="0" borderId="0" xfId="0" applyFont="1"/>
    <xf numFmtId="0" fontId="0" fillId="2" borderId="32" xfId="0" applyFill="1" applyBorder="1"/>
    <xf numFmtId="0" fontId="0" fillId="2" borderId="31" xfId="0" applyFill="1" applyBorder="1"/>
    <xf numFmtId="0" fontId="0" fillId="2" borderId="30" xfId="0" applyFill="1" applyBorder="1"/>
    <xf numFmtId="0" fontId="0" fillId="0" borderId="32" xfId="0" applyBorder="1"/>
    <xf numFmtId="0" fontId="0" fillId="3" borderId="31" xfId="0" applyFill="1" applyBorder="1"/>
    <xf numFmtId="0" fontId="0" fillId="3" borderId="30" xfId="0" applyFill="1" applyBorder="1"/>
    <xf numFmtId="0" fontId="0" fillId="0" borderId="32" xfId="0" quotePrefix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118946</xdr:colOff>
      <xdr:row>15</xdr:row>
      <xdr:rowOff>133349</xdr:rowOff>
    </xdr:from>
    <xdr:to>
      <xdr:col>15</xdr:col>
      <xdr:colOff>343064</xdr:colOff>
      <xdr:row>51</xdr:row>
      <xdr:rowOff>69055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5E473BB-D925-47EA-8472-7B2C1F768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8696" y="2981324"/>
          <a:ext cx="7520268" cy="6822281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50</xdr:row>
      <xdr:rowOff>78187</xdr:rowOff>
    </xdr:from>
    <xdr:to>
      <xdr:col>17</xdr:col>
      <xdr:colOff>41450</xdr:colOff>
      <xdr:row>51</xdr:row>
      <xdr:rowOff>23154</xdr:rowOff>
    </xdr:to>
    <xdr:sp macro="" textlink="">
      <xdr:nvSpPr>
        <xdr:cNvPr id="3" name="Rectangle 376" descr="Široký šikmo nahoru">
          <a:extLst>
            <a:ext uri="{FF2B5EF4-FFF2-40B4-BE49-F238E27FC236}">
              <a16:creationId xmlns:a16="http://schemas.microsoft.com/office/drawing/2014/main" id="{0505EFF1-5AE8-4977-A83C-5191A368D6C9}"/>
            </a:ext>
          </a:extLst>
        </xdr:cNvPr>
        <xdr:cNvSpPr>
          <a:spLocks noChangeArrowheads="1"/>
        </xdr:cNvSpPr>
      </xdr:nvSpPr>
      <xdr:spPr bwMode="auto">
        <a:xfrm rot="5400000">
          <a:off x="5387004" y="4816258"/>
          <a:ext cx="144992" cy="9737900"/>
        </a:xfrm>
        <a:prstGeom prst="rect">
          <a:avLst/>
        </a:prstGeom>
        <a:pattFill prst="wdUpDiag">
          <a:fgClr>
            <a:schemeClr val="tx1">
              <a:lumMod val="65000"/>
              <a:lumOff val="35000"/>
            </a:schemeClr>
          </a:fgClr>
          <a:bgClr>
            <a:schemeClr val="bg1">
              <a:lumMod val="65000"/>
            </a:schemeClr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375566</xdr:colOff>
      <xdr:row>21</xdr:row>
      <xdr:rowOff>8947</xdr:rowOff>
    </xdr:from>
    <xdr:to>
      <xdr:col>11</xdr:col>
      <xdr:colOff>375566</xdr:colOff>
      <xdr:row>50</xdr:row>
      <xdr:rowOff>81972</xdr:rowOff>
    </xdr:to>
    <xdr:cxnSp macro="">
      <xdr:nvCxnSpPr>
        <xdr:cNvPr id="4" name="Přímá spojnice 3">
          <a:extLst>
            <a:ext uri="{FF2B5EF4-FFF2-40B4-BE49-F238E27FC236}">
              <a16:creationId xmlns:a16="http://schemas.microsoft.com/office/drawing/2014/main" id="{115A4392-3376-4171-A39E-EEEA7FDBB57B}"/>
            </a:ext>
          </a:extLst>
        </xdr:cNvPr>
        <xdr:cNvCxnSpPr/>
      </xdr:nvCxnSpPr>
      <xdr:spPr>
        <a:xfrm>
          <a:off x="7062116" y="3942772"/>
          <a:ext cx="0" cy="5673725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238990</xdr:colOff>
      <xdr:row>16</xdr:row>
      <xdr:rowOff>5772</xdr:rowOff>
    </xdr:from>
    <xdr:to>
      <xdr:col>15</xdr:col>
      <xdr:colOff>127061</xdr:colOff>
      <xdr:row>16</xdr:row>
      <xdr:rowOff>141234</xdr:rowOff>
    </xdr:to>
    <xdr:sp macro="" textlink="">
      <xdr:nvSpPr>
        <xdr:cNvPr id="5" name="Rectangle 376" descr="Široký šikmo nahoru">
          <a:extLst>
            <a:ext uri="{FF2B5EF4-FFF2-40B4-BE49-F238E27FC236}">
              <a16:creationId xmlns:a16="http://schemas.microsoft.com/office/drawing/2014/main" id="{47DF4F2F-E2C8-4541-8A66-57638186919D}"/>
            </a:ext>
          </a:extLst>
        </xdr:cNvPr>
        <xdr:cNvSpPr>
          <a:spLocks noChangeArrowheads="1"/>
        </xdr:cNvSpPr>
      </xdr:nvSpPr>
      <xdr:spPr bwMode="auto">
        <a:xfrm rot="5400000">
          <a:off x="4668245" y="-1394533"/>
          <a:ext cx="135462" cy="8993971"/>
        </a:xfrm>
        <a:prstGeom prst="rect">
          <a:avLst/>
        </a:prstGeom>
        <a:pattFill prst="wdUpDiag">
          <a:fgClr>
            <a:schemeClr val="tx1">
              <a:lumMod val="65000"/>
              <a:lumOff val="35000"/>
            </a:schemeClr>
          </a:fgClr>
          <a:bgClr>
            <a:schemeClr val="bg1">
              <a:lumMod val="65000"/>
            </a:schemeClr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424078</xdr:colOff>
      <xdr:row>21</xdr:row>
      <xdr:rowOff>170872</xdr:rowOff>
    </xdr:from>
    <xdr:to>
      <xdr:col>6</xdr:col>
      <xdr:colOff>424078</xdr:colOff>
      <xdr:row>50</xdr:row>
      <xdr:rowOff>75008</xdr:rowOff>
    </xdr:to>
    <xdr:cxnSp macro="">
      <xdr:nvCxnSpPr>
        <xdr:cNvPr id="6" name="Přímá spojnice 5">
          <a:extLst>
            <a:ext uri="{FF2B5EF4-FFF2-40B4-BE49-F238E27FC236}">
              <a16:creationId xmlns:a16="http://schemas.microsoft.com/office/drawing/2014/main" id="{488A3DE3-A38C-4378-9899-AAEB43608B03}"/>
            </a:ext>
          </a:extLst>
        </xdr:cNvPr>
        <xdr:cNvCxnSpPr/>
      </xdr:nvCxnSpPr>
      <xdr:spPr>
        <a:xfrm>
          <a:off x="4062628" y="4104697"/>
          <a:ext cx="0" cy="5504836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93195</xdr:colOff>
      <xdr:row>16</xdr:row>
      <xdr:rowOff>5773</xdr:rowOff>
    </xdr:from>
    <xdr:to>
      <xdr:col>15</xdr:col>
      <xdr:colOff>245540</xdr:colOff>
      <xdr:row>20</xdr:row>
      <xdr:rowOff>55302</xdr:rowOff>
    </xdr:to>
    <xdr:sp macro="" textlink="">
      <xdr:nvSpPr>
        <xdr:cNvPr id="7" name="Rectangle 375" descr="Široký šikmo nahoru">
          <a:extLst>
            <a:ext uri="{FF2B5EF4-FFF2-40B4-BE49-F238E27FC236}">
              <a16:creationId xmlns:a16="http://schemas.microsoft.com/office/drawing/2014/main" id="{A8CA2A92-86A1-4196-9576-DC5387050751}"/>
            </a:ext>
          </a:extLst>
        </xdr:cNvPr>
        <xdr:cNvSpPr>
          <a:spLocks noChangeArrowheads="1"/>
        </xdr:cNvSpPr>
      </xdr:nvSpPr>
      <xdr:spPr bwMode="auto">
        <a:xfrm>
          <a:off x="9199095" y="3034723"/>
          <a:ext cx="152345" cy="773429"/>
        </a:xfrm>
        <a:prstGeom prst="rect">
          <a:avLst/>
        </a:prstGeom>
        <a:pattFill prst="wdUpDiag">
          <a:fgClr>
            <a:schemeClr val="tx1">
              <a:lumMod val="65000"/>
              <a:lumOff val="35000"/>
            </a:schemeClr>
          </a:fgClr>
          <a:bgClr>
            <a:schemeClr val="bg1">
              <a:lumMod val="65000"/>
            </a:schemeClr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436522</xdr:colOff>
      <xdr:row>16</xdr:row>
      <xdr:rowOff>149469</xdr:rowOff>
    </xdr:from>
    <xdr:to>
      <xdr:col>16</xdr:col>
      <xdr:colOff>436522</xdr:colOff>
      <xdr:row>50</xdr:row>
      <xdr:rowOff>78630</xdr:rowOff>
    </xdr:to>
    <xdr:cxnSp macro="">
      <xdr:nvCxnSpPr>
        <xdr:cNvPr id="8" name="Přímá spojnice 7">
          <a:extLst>
            <a:ext uri="{FF2B5EF4-FFF2-40B4-BE49-F238E27FC236}">
              <a16:creationId xmlns:a16="http://schemas.microsoft.com/office/drawing/2014/main" id="{0C2FEC68-A06E-4D05-994C-2AEB869D114E}"/>
            </a:ext>
          </a:extLst>
        </xdr:cNvPr>
        <xdr:cNvCxnSpPr/>
      </xdr:nvCxnSpPr>
      <xdr:spPr>
        <a:xfrm>
          <a:off x="10132972" y="3178419"/>
          <a:ext cx="0" cy="6434736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12708</xdr:colOff>
      <xdr:row>20</xdr:row>
      <xdr:rowOff>59112</xdr:rowOff>
    </xdr:from>
    <xdr:to>
      <xdr:col>16</xdr:col>
      <xdr:colOff>12708</xdr:colOff>
      <xdr:row>50</xdr:row>
      <xdr:rowOff>82640</xdr:rowOff>
    </xdr:to>
    <xdr:cxnSp macro="">
      <xdr:nvCxnSpPr>
        <xdr:cNvPr id="9" name="Přímá spojnice 8">
          <a:extLst>
            <a:ext uri="{FF2B5EF4-FFF2-40B4-BE49-F238E27FC236}">
              <a16:creationId xmlns:a16="http://schemas.microsoft.com/office/drawing/2014/main" id="{275BC1F7-D692-4635-A4B0-6F87E9485D8E}"/>
            </a:ext>
          </a:extLst>
        </xdr:cNvPr>
        <xdr:cNvCxnSpPr/>
      </xdr:nvCxnSpPr>
      <xdr:spPr>
        <a:xfrm>
          <a:off x="9709158" y="3811962"/>
          <a:ext cx="0" cy="5805203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507999</xdr:colOff>
      <xdr:row>14</xdr:row>
      <xdr:rowOff>137746</xdr:rowOff>
    </xdr:from>
    <xdr:to>
      <xdr:col>11</xdr:col>
      <xdr:colOff>507999</xdr:colOff>
      <xdr:row>16</xdr:row>
      <xdr:rowOff>144481</xdr:rowOff>
    </xdr:to>
    <xdr:cxnSp macro="">
      <xdr:nvCxnSpPr>
        <xdr:cNvPr id="10" name="Přímá spojnice 9">
          <a:extLst>
            <a:ext uri="{FF2B5EF4-FFF2-40B4-BE49-F238E27FC236}">
              <a16:creationId xmlns:a16="http://schemas.microsoft.com/office/drawing/2014/main" id="{001255C8-23E3-4275-A7D2-EDBCAC3AE33C}"/>
            </a:ext>
          </a:extLst>
        </xdr:cNvPr>
        <xdr:cNvCxnSpPr/>
      </xdr:nvCxnSpPr>
      <xdr:spPr>
        <a:xfrm>
          <a:off x="7194549" y="2804746"/>
          <a:ext cx="0" cy="36868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94351</xdr:colOff>
      <xdr:row>10</xdr:row>
      <xdr:rowOff>88900</xdr:rowOff>
    </xdr:from>
    <xdr:to>
      <xdr:col>15</xdr:col>
      <xdr:colOff>94351</xdr:colOff>
      <xdr:row>16</xdr:row>
      <xdr:rowOff>0</xdr:rowOff>
    </xdr:to>
    <xdr:cxnSp macro="">
      <xdr:nvCxnSpPr>
        <xdr:cNvPr id="11" name="Přímá spojnice 10">
          <a:extLst>
            <a:ext uri="{FF2B5EF4-FFF2-40B4-BE49-F238E27FC236}">
              <a16:creationId xmlns:a16="http://schemas.microsoft.com/office/drawing/2014/main" id="{61E49AD5-1E8B-4241-BA3D-2E72DD8E37AA}"/>
            </a:ext>
          </a:extLst>
        </xdr:cNvPr>
        <xdr:cNvCxnSpPr/>
      </xdr:nvCxnSpPr>
      <xdr:spPr>
        <a:xfrm>
          <a:off x="9200251" y="2003425"/>
          <a:ext cx="0" cy="1025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507023</xdr:colOff>
      <xdr:row>15</xdr:row>
      <xdr:rowOff>75860</xdr:rowOff>
    </xdr:from>
    <xdr:to>
      <xdr:col>15</xdr:col>
      <xdr:colOff>88908</xdr:colOff>
      <xdr:row>15</xdr:row>
      <xdr:rowOff>75861</xdr:rowOff>
    </xdr:to>
    <xdr:cxnSp macro="">
      <xdr:nvCxnSpPr>
        <xdr:cNvPr id="12" name="Přímá spojnice 11">
          <a:extLst>
            <a:ext uri="{FF2B5EF4-FFF2-40B4-BE49-F238E27FC236}">
              <a16:creationId xmlns:a16="http://schemas.microsoft.com/office/drawing/2014/main" id="{DB193B94-DF7E-42CB-94AB-67C1F3C120B1}"/>
            </a:ext>
          </a:extLst>
        </xdr:cNvPr>
        <xdr:cNvCxnSpPr/>
      </xdr:nvCxnSpPr>
      <xdr:spPr>
        <a:xfrm>
          <a:off x="7193573" y="2923835"/>
          <a:ext cx="2001235" cy="1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231058</xdr:colOff>
      <xdr:row>13</xdr:row>
      <xdr:rowOff>83239</xdr:rowOff>
    </xdr:from>
    <xdr:to>
      <xdr:col>15</xdr:col>
      <xdr:colOff>87522</xdr:colOff>
      <xdr:row>13</xdr:row>
      <xdr:rowOff>83239</xdr:rowOff>
    </xdr:to>
    <xdr:cxnSp macro="">
      <xdr:nvCxnSpPr>
        <xdr:cNvPr id="13" name="Přímá spojnice 12">
          <a:extLst>
            <a:ext uri="{FF2B5EF4-FFF2-40B4-BE49-F238E27FC236}">
              <a16:creationId xmlns:a16="http://schemas.microsoft.com/office/drawing/2014/main" id="{44C90C26-4A29-4C0D-9529-BE335A289A74}"/>
            </a:ext>
          </a:extLst>
        </xdr:cNvPr>
        <xdr:cNvCxnSpPr/>
      </xdr:nvCxnSpPr>
      <xdr:spPr>
        <a:xfrm>
          <a:off x="2040808" y="2569264"/>
          <a:ext cx="715261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119788</xdr:colOff>
      <xdr:row>12</xdr:row>
      <xdr:rowOff>18472</xdr:rowOff>
    </xdr:from>
    <xdr:to>
      <xdr:col>2</xdr:col>
      <xdr:colOff>119788</xdr:colOff>
      <xdr:row>16</xdr:row>
      <xdr:rowOff>139337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CC43EDB-5830-49BC-A202-024A949CE735}"/>
            </a:ext>
          </a:extLst>
        </xdr:cNvPr>
        <xdr:cNvCxnSpPr/>
      </xdr:nvCxnSpPr>
      <xdr:spPr>
        <a:xfrm>
          <a:off x="1319938" y="2313997"/>
          <a:ext cx="0" cy="85429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121920</xdr:colOff>
      <xdr:row>12</xdr:row>
      <xdr:rowOff>77880</xdr:rowOff>
    </xdr:from>
    <xdr:to>
      <xdr:col>15</xdr:col>
      <xdr:colOff>88908</xdr:colOff>
      <xdr:row>12</xdr:row>
      <xdr:rowOff>77880</xdr:rowOff>
    </xdr:to>
    <xdr:cxnSp macro="">
      <xdr:nvCxnSpPr>
        <xdr:cNvPr id="15" name="Přímá spojnice 14">
          <a:extLst>
            <a:ext uri="{FF2B5EF4-FFF2-40B4-BE49-F238E27FC236}">
              <a16:creationId xmlns:a16="http://schemas.microsoft.com/office/drawing/2014/main" id="{BB4DB4EB-70B9-4BBD-9E84-CBC2ECCE4E3E}"/>
            </a:ext>
          </a:extLst>
        </xdr:cNvPr>
        <xdr:cNvCxnSpPr/>
      </xdr:nvCxnSpPr>
      <xdr:spPr>
        <a:xfrm>
          <a:off x="1322070" y="2373405"/>
          <a:ext cx="7872738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215310</xdr:colOff>
      <xdr:row>10</xdr:row>
      <xdr:rowOff>129461</xdr:rowOff>
    </xdr:from>
    <xdr:to>
      <xdr:col>1</xdr:col>
      <xdr:colOff>215310</xdr:colOff>
      <xdr:row>18</xdr:row>
      <xdr:rowOff>692</xdr:rowOff>
    </xdr:to>
    <xdr:cxnSp macro="">
      <xdr:nvCxnSpPr>
        <xdr:cNvPr id="16" name="Přímá spojnice 15">
          <a:extLst>
            <a:ext uri="{FF2B5EF4-FFF2-40B4-BE49-F238E27FC236}">
              <a16:creationId xmlns:a16="http://schemas.microsoft.com/office/drawing/2014/main" id="{C7091CD0-BC10-469A-8FEC-16C379BC34FE}"/>
            </a:ext>
          </a:extLst>
        </xdr:cNvPr>
        <xdr:cNvCxnSpPr/>
      </xdr:nvCxnSpPr>
      <xdr:spPr>
        <a:xfrm>
          <a:off x="805860" y="2043986"/>
          <a:ext cx="0" cy="1347606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211282</xdr:colOff>
      <xdr:row>10</xdr:row>
      <xdr:rowOff>179207</xdr:rowOff>
    </xdr:from>
    <xdr:to>
      <xdr:col>15</xdr:col>
      <xdr:colOff>88908</xdr:colOff>
      <xdr:row>10</xdr:row>
      <xdr:rowOff>179207</xdr:rowOff>
    </xdr:to>
    <xdr:cxnSp macro="">
      <xdr:nvCxnSpPr>
        <xdr:cNvPr id="17" name="Přímá spojnice 16">
          <a:extLst>
            <a:ext uri="{FF2B5EF4-FFF2-40B4-BE49-F238E27FC236}">
              <a16:creationId xmlns:a16="http://schemas.microsoft.com/office/drawing/2014/main" id="{7BD323E6-539E-4E92-AA37-7A10D7F0A801}"/>
            </a:ext>
          </a:extLst>
        </xdr:cNvPr>
        <xdr:cNvCxnSpPr/>
      </xdr:nvCxnSpPr>
      <xdr:spPr>
        <a:xfrm>
          <a:off x="801832" y="2093732"/>
          <a:ext cx="8392976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398760</xdr:colOff>
      <xdr:row>16</xdr:row>
      <xdr:rowOff>135013</xdr:rowOff>
    </xdr:from>
    <xdr:to>
      <xdr:col>1</xdr:col>
      <xdr:colOff>10140</xdr:colOff>
      <xdr:row>17</xdr:row>
      <xdr:rowOff>135013</xdr:rowOff>
    </xdr:to>
    <xdr:sp macro="" textlink="">
      <xdr:nvSpPr>
        <xdr:cNvPr id="18" name="Rectangle 376" descr="Široký šikmo nahoru">
          <a:extLst>
            <a:ext uri="{FF2B5EF4-FFF2-40B4-BE49-F238E27FC236}">
              <a16:creationId xmlns:a16="http://schemas.microsoft.com/office/drawing/2014/main" id="{A41D4C20-7EC4-43D0-8C69-73417F786F41}"/>
            </a:ext>
          </a:extLst>
        </xdr:cNvPr>
        <xdr:cNvSpPr>
          <a:spLocks noChangeArrowheads="1"/>
        </xdr:cNvSpPr>
      </xdr:nvSpPr>
      <xdr:spPr bwMode="auto">
        <a:xfrm flipH="1">
          <a:off x="398760" y="3163963"/>
          <a:ext cx="201930" cy="180975"/>
        </a:xfrm>
        <a:prstGeom prst="rect">
          <a:avLst/>
        </a:prstGeom>
        <a:solidFill>
          <a:schemeClr val="tx1"/>
        </a:solidFill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509250</xdr:colOff>
      <xdr:row>10</xdr:row>
      <xdr:rowOff>129389</xdr:rowOff>
    </xdr:from>
    <xdr:to>
      <xdr:col>0</xdr:col>
      <xdr:colOff>509900</xdr:colOff>
      <xdr:row>16</xdr:row>
      <xdr:rowOff>135013</xdr:rowOff>
    </xdr:to>
    <xdr:cxnSp macro="">
      <xdr:nvCxnSpPr>
        <xdr:cNvPr id="19" name="Přímá spojnice 18">
          <a:extLst>
            <a:ext uri="{FF2B5EF4-FFF2-40B4-BE49-F238E27FC236}">
              <a16:creationId xmlns:a16="http://schemas.microsoft.com/office/drawing/2014/main" id="{927435C8-E398-40B1-A5B2-439B67C9A314}"/>
            </a:ext>
          </a:extLst>
        </xdr:cNvPr>
        <xdr:cNvCxnSpPr>
          <a:endCxn id="18" idx="0"/>
        </xdr:cNvCxnSpPr>
      </xdr:nvCxnSpPr>
      <xdr:spPr>
        <a:xfrm flipH="1">
          <a:off x="509250" y="2043914"/>
          <a:ext cx="650" cy="1120049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509250</xdr:colOff>
      <xdr:row>17</xdr:row>
      <xdr:rowOff>135013</xdr:rowOff>
    </xdr:from>
    <xdr:to>
      <xdr:col>2</xdr:col>
      <xdr:colOff>0</xdr:colOff>
      <xdr:row>24</xdr:row>
      <xdr:rowOff>0</xdr:rowOff>
    </xdr:to>
    <xdr:cxnSp macro="">
      <xdr:nvCxnSpPr>
        <xdr:cNvPr id="20" name="Přímá spojnice 142">
          <a:extLst>
            <a:ext uri="{FF2B5EF4-FFF2-40B4-BE49-F238E27FC236}">
              <a16:creationId xmlns:a16="http://schemas.microsoft.com/office/drawing/2014/main" id="{A3211CBF-4BAB-4E9E-BF15-31AE17E86E97}"/>
            </a:ext>
          </a:extLst>
        </xdr:cNvPr>
        <xdr:cNvCxnSpPr>
          <a:stCxn id="18" idx="2"/>
        </xdr:cNvCxnSpPr>
      </xdr:nvCxnSpPr>
      <xdr:spPr>
        <a:xfrm>
          <a:off x="509250" y="3344938"/>
          <a:ext cx="690900" cy="1150862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507972</xdr:colOff>
      <xdr:row>10</xdr:row>
      <xdr:rowOff>178206</xdr:rowOff>
    </xdr:from>
    <xdr:to>
      <xdr:col>1</xdr:col>
      <xdr:colOff>208088</xdr:colOff>
      <xdr:row>10</xdr:row>
      <xdr:rowOff>178207</xdr:rowOff>
    </xdr:to>
    <xdr:cxnSp macro="">
      <xdr:nvCxnSpPr>
        <xdr:cNvPr id="21" name="Přímá spojnice 20">
          <a:extLst>
            <a:ext uri="{FF2B5EF4-FFF2-40B4-BE49-F238E27FC236}">
              <a16:creationId xmlns:a16="http://schemas.microsoft.com/office/drawing/2014/main" id="{BE43D64E-F9BF-4A97-BA0D-CBA277CD2818}"/>
            </a:ext>
          </a:extLst>
        </xdr:cNvPr>
        <xdr:cNvCxnSpPr/>
      </xdr:nvCxnSpPr>
      <xdr:spPr>
        <a:xfrm>
          <a:off x="507972" y="2092731"/>
          <a:ext cx="290666" cy="1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234563</xdr:colOff>
      <xdr:row>12</xdr:row>
      <xdr:rowOff>177800</xdr:rowOff>
    </xdr:from>
    <xdr:to>
      <xdr:col>3</xdr:col>
      <xdr:colOff>234563</xdr:colOff>
      <xdr:row>18</xdr:row>
      <xdr:rowOff>160020</xdr:rowOff>
    </xdr:to>
    <xdr:cxnSp macro="">
      <xdr:nvCxnSpPr>
        <xdr:cNvPr id="22" name="Přímá spojnice 21">
          <a:extLst>
            <a:ext uri="{FF2B5EF4-FFF2-40B4-BE49-F238E27FC236}">
              <a16:creationId xmlns:a16="http://schemas.microsoft.com/office/drawing/2014/main" id="{2FC219F7-F11A-49D0-B2DD-99E34F4B21F9}"/>
            </a:ext>
          </a:extLst>
        </xdr:cNvPr>
        <xdr:cNvCxnSpPr/>
      </xdr:nvCxnSpPr>
      <xdr:spPr>
        <a:xfrm>
          <a:off x="2044313" y="2473325"/>
          <a:ext cx="0" cy="107759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108857</xdr:colOff>
      <xdr:row>20</xdr:row>
      <xdr:rowOff>54315</xdr:rowOff>
    </xdr:from>
    <xdr:to>
      <xdr:col>16</xdr:col>
      <xdr:colOff>129997</xdr:colOff>
      <xdr:row>20</xdr:row>
      <xdr:rowOff>54316</xdr:rowOff>
    </xdr:to>
    <xdr:cxnSp macro="">
      <xdr:nvCxnSpPr>
        <xdr:cNvPr id="23" name="Přímá spojnice 22">
          <a:extLst>
            <a:ext uri="{FF2B5EF4-FFF2-40B4-BE49-F238E27FC236}">
              <a16:creationId xmlns:a16="http://schemas.microsoft.com/office/drawing/2014/main" id="{9AE14995-7ED4-406A-A9DF-666D65E0558C}"/>
            </a:ext>
          </a:extLst>
        </xdr:cNvPr>
        <xdr:cNvCxnSpPr/>
      </xdr:nvCxnSpPr>
      <xdr:spPr>
        <a:xfrm flipV="1">
          <a:off x="9214757" y="3807165"/>
          <a:ext cx="611690" cy="1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252986</xdr:colOff>
      <xdr:row>16</xdr:row>
      <xdr:rowOff>150033</xdr:rowOff>
    </xdr:from>
    <xdr:to>
      <xdr:col>17</xdr:col>
      <xdr:colOff>28397</xdr:colOff>
      <xdr:row>16</xdr:row>
      <xdr:rowOff>150033</xdr:rowOff>
    </xdr:to>
    <xdr:cxnSp macro="">
      <xdr:nvCxnSpPr>
        <xdr:cNvPr id="24" name="Přímá spojnice 23">
          <a:extLst>
            <a:ext uri="{FF2B5EF4-FFF2-40B4-BE49-F238E27FC236}">
              <a16:creationId xmlns:a16="http://schemas.microsoft.com/office/drawing/2014/main" id="{39782D1F-C1DC-419B-8183-D140B1525825}"/>
            </a:ext>
          </a:extLst>
        </xdr:cNvPr>
        <xdr:cNvCxnSpPr/>
      </xdr:nvCxnSpPr>
      <xdr:spPr>
        <a:xfrm>
          <a:off x="9358886" y="3178983"/>
          <a:ext cx="956511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205014</xdr:colOff>
      <xdr:row>28</xdr:row>
      <xdr:rowOff>147012</xdr:rowOff>
    </xdr:from>
    <xdr:to>
      <xdr:col>14</xdr:col>
      <xdr:colOff>205014</xdr:colOff>
      <xdr:row>50</xdr:row>
      <xdr:rowOff>51699</xdr:rowOff>
    </xdr:to>
    <xdr:cxnSp macro="">
      <xdr:nvCxnSpPr>
        <xdr:cNvPr id="25" name="Přímá spojnice 24">
          <a:extLst>
            <a:ext uri="{FF2B5EF4-FFF2-40B4-BE49-F238E27FC236}">
              <a16:creationId xmlns:a16="http://schemas.microsoft.com/office/drawing/2014/main" id="{F90A99A7-C719-4283-B9B0-FBED87E175B1}"/>
            </a:ext>
          </a:extLst>
        </xdr:cNvPr>
        <xdr:cNvCxnSpPr/>
      </xdr:nvCxnSpPr>
      <xdr:spPr>
        <a:xfrm>
          <a:off x="8701314" y="5404812"/>
          <a:ext cx="0" cy="4181412"/>
        </a:xfrm>
        <a:prstGeom prst="line">
          <a:avLst/>
        </a:prstGeom>
        <a:ln>
          <a:prstDash val="dash"/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281214</xdr:colOff>
      <xdr:row>47</xdr:row>
      <xdr:rowOff>150757</xdr:rowOff>
    </xdr:from>
    <xdr:to>
      <xdr:col>14</xdr:col>
      <xdr:colOff>192314</xdr:colOff>
      <xdr:row>47</xdr:row>
      <xdr:rowOff>150758</xdr:rowOff>
    </xdr:to>
    <xdr:cxnSp macro="">
      <xdr:nvCxnSpPr>
        <xdr:cNvPr id="26" name="Přímá spojnice 25">
          <a:extLst>
            <a:ext uri="{FF2B5EF4-FFF2-40B4-BE49-F238E27FC236}">
              <a16:creationId xmlns:a16="http://schemas.microsoft.com/office/drawing/2014/main" id="{DAA34169-8EA8-4C38-8A6A-E6400AFC50DC}"/>
            </a:ext>
          </a:extLst>
        </xdr:cNvPr>
        <xdr:cNvCxnSpPr/>
      </xdr:nvCxnSpPr>
      <xdr:spPr>
        <a:xfrm>
          <a:off x="8186964" y="9094732"/>
          <a:ext cx="501650" cy="1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78014</xdr:colOff>
      <xdr:row>47</xdr:row>
      <xdr:rowOff>150757</xdr:rowOff>
    </xdr:from>
    <xdr:to>
      <xdr:col>15</xdr:col>
      <xdr:colOff>408214</xdr:colOff>
      <xdr:row>47</xdr:row>
      <xdr:rowOff>150757</xdr:rowOff>
    </xdr:to>
    <xdr:cxnSp macro="">
      <xdr:nvCxnSpPr>
        <xdr:cNvPr id="27" name="Přímá spojnice 26">
          <a:extLst>
            <a:ext uri="{FF2B5EF4-FFF2-40B4-BE49-F238E27FC236}">
              <a16:creationId xmlns:a16="http://schemas.microsoft.com/office/drawing/2014/main" id="{4520C214-711D-47A6-A745-650BE56025B8}"/>
            </a:ext>
          </a:extLst>
        </xdr:cNvPr>
        <xdr:cNvCxnSpPr/>
      </xdr:nvCxnSpPr>
      <xdr:spPr>
        <a:xfrm>
          <a:off x="9183914" y="9094732"/>
          <a:ext cx="33020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</xdr:colOff>
      <xdr:row>21</xdr:row>
      <xdr:rowOff>189110</xdr:rowOff>
    </xdr:from>
    <xdr:to>
      <xdr:col>12</xdr:col>
      <xdr:colOff>172686</xdr:colOff>
      <xdr:row>21</xdr:row>
      <xdr:rowOff>189110</xdr:rowOff>
    </xdr:to>
    <xdr:cxnSp macro="">
      <xdr:nvCxnSpPr>
        <xdr:cNvPr id="28" name="Přímá spojnice 27">
          <a:extLst>
            <a:ext uri="{FF2B5EF4-FFF2-40B4-BE49-F238E27FC236}">
              <a16:creationId xmlns:a16="http://schemas.microsoft.com/office/drawing/2014/main" id="{CE81ECFB-3917-46AB-BB16-1A815FAD9148}"/>
            </a:ext>
          </a:extLst>
        </xdr:cNvPr>
        <xdr:cNvCxnSpPr/>
      </xdr:nvCxnSpPr>
      <xdr:spPr>
        <a:xfrm>
          <a:off x="1824990" y="4122935"/>
          <a:ext cx="5643846" cy="0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145473</xdr:colOff>
      <xdr:row>22</xdr:row>
      <xdr:rowOff>3463</xdr:rowOff>
    </xdr:from>
    <xdr:to>
      <xdr:col>14</xdr:col>
      <xdr:colOff>217714</xdr:colOff>
      <xdr:row>28</xdr:row>
      <xdr:rowOff>159712</xdr:rowOff>
    </xdr:to>
    <xdr:cxnSp macro="">
      <xdr:nvCxnSpPr>
        <xdr:cNvPr id="29" name="Přímá spojnice 28">
          <a:extLst>
            <a:ext uri="{FF2B5EF4-FFF2-40B4-BE49-F238E27FC236}">
              <a16:creationId xmlns:a16="http://schemas.microsoft.com/office/drawing/2014/main" id="{E1AEFB46-3A23-4A95-9728-F6CE822C0DCB}"/>
            </a:ext>
          </a:extLst>
        </xdr:cNvPr>
        <xdr:cNvCxnSpPr/>
      </xdr:nvCxnSpPr>
      <xdr:spPr>
        <a:xfrm>
          <a:off x="7441623" y="4127788"/>
          <a:ext cx="1272391" cy="1289724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22860</xdr:colOff>
      <xdr:row>18</xdr:row>
      <xdr:rowOff>163453</xdr:rowOff>
    </xdr:from>
    <xdr:to>
      <xdr:col>15</xdr:col>
      <xdr:colOff>91440</xdr:colOff>
      <xdr:row>18</xdr:row>
      <xdr:rowOff>163453</xdr:rowOff>
    </xdr:to>
    <xdr:cxnSp macro="">
      <xdr:nvCxnSpPr>
        <xdr:cNvPr id="30" name="Přímá spojnice 29">
          <a:extLst>
            <a:ext uri="{FF2B5EF4-FFF2-40B4-BE49-F238E27FC236}">
              <a16:creationId xmlns:a16="http://schemas.microsoft.com/office/drawing/2014/main" id="{A61050CD-6F2F-4501-9EE3-F6C46AD35645}"/>
            </a:ext>
          </a:extLst>
        </xdr:cNvPr>
        <xdr:cNvCxnSpPr/>
      </xdr:nvCxnSpPr>
      <xdr:spPr>
        <a:xfrm>
          <a:off x="1832610" y="3554353"/>
          <a:ext cx="7364730" cy="0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233185</xdr:colOff>
      <xdr:row>18</xdr:row>
      <xdr:rowOff>180109</xdr:rowOff>
    </xdr:from>
    <xdr:to>
      <xdr:col>3</xdr:col>
      <xdr:colOff>233185</xdr:colOff>
      <xdr:row>22</xdr:row>
      <xdr:rowOff>17318</xdr:rowOff>
    </xdr:to>
    <xdr:cxnSp macro="">
      <xdr:nvCxnSpPr>
        <xdr:cNvPr id="31" name="Přímá spojnice 30">
          <a:extLst>
            <a:ext uri="{FF2B5EF4-FFF2-40B4-BE49-F238E27FC236}">
              <a16:creationId xmlns:a16="http://schemas.microsoft.com/office/drawing/2014/main" id="{9380C371-5166-494C-A79E-DC679FE57641}"/>
            </a:ext>
          </a:extLst>
        </xdr:cNvPr>
        <xdr:cNvCxnSpPr/>
      </xdr:nvCxnSpPr>
      <xdr:spPr>
        <a:xfrm>
          <a:off x="2042935" y="3571009"/>
          <a:ext cx="0" cy="570634"/>
        </a:xfrm>
        <a:prstGeom prst="line">
          <a:avLst/>
        </a:prstGeom>
        <a:ln>
          <a:prstDash val="dash"/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69991</xdr:colOff>
      <xdr:row>18</xdr:row>
      <xdr:rowOff>177338</xdr:rowOff>
    </xdr:from>
    <xdr:to>
      <xdr:col>3</xdr:col>
      <xdr:colOff>69991</xdr:colOff>
      <xdr:row>22</xdr:row>
      <xdr:rowOff>7620</xdr:rowOff>
    </xdr:to>
    <xdr:cxnSp macro="">
      <xdr:nvCxnSpPr>
        <xdr:cNvPr id="32" name="Přímá spojnice 31">
          <a:extLst>
            <a:ext uri="{FF2B5EF4-FFF2-40B4-BE49-F238E27FC236}">
              <a16:creationId xmlns:a16="http://schemas.microsoft.com/office/drawing/2014/main" id="{F2386177-56AF-4681-A566-811150099844}"/>
            </a:ext>
          </a:extLst>
        </xdr:cNvPr>
        <xdr:cNvCxnSpPr/>
      </xdr:nvCxnSpPr>
      <xdr:spPr>
        <a:xfrm>
          <a:off x="1879741" y="3568238"/>
          <a:ext cx="0" cy="563707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337457</xdr:colOff>
      <xdr:row>28</xdr:row>
      <xdr:rowOff>165944</xdr:rowOff>
    </xdr:from>
    <xdr:to>
      <xdr:col>15</xdr:col>
      <xdr:colOff>61690</xdr:colOff>
      <xdr:row>28</xdr:row>
      <xdr:rowOff>165944</xdr:rowOff>
    </xdr:to>
    <xdr:cxnSp macro="">
      <xdr:nvCxnSpPr>
        <xdr:cNvPr id="33" name="Přímá spojnice 32">
          <a:extLst>
            <a:ext uri="{FF2B5EF4-FFF2-40B4-BE49-F238E27FC236}">
              <a16:creationId xmlns:a16="http://schemas.microsoft.com/office/drawing/2014/main" id="{21CCFD47-92F1-4907-ACBB-880412736F50}"/>
            </a:ext>
          </a:extLst>
        </xdr:cNvPr>
        <xdr:cNvCxnSpPr/>
      </xdr:nvCxnSpPr>
      <xdr:spPr>
        <a:xfrm>
          <a:off x="7633607" y="5423744"/>
          <a:ext cx="1533983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141159</xdr:colOff>
      <xdr:row>21</xdr:row>
      <xdr:rowOff>183244</xdr:rowOff>
    </xdr:from>
    <xdr:to>
      <xdr:col>12</xdr:col>
      <xdr:colOff>141159</xdr:colOff>
      <xdr:row>27</xdr:row>
      <xdr:rowOff>65314</xdr:rowOff>
    </xdr:to>
    <xdr:cxnSp macro="">
      <xdr:nvCxnSpPr>
        <xdr:cNvPr id="34" name="Přímá spojnice 33">
          <a:extLst>
            <a:ext uri="{FF2B5EF4-FFF2-40B4-BE49-F238E27FC236}">
              <a16:creationId xmlns:a16="http://schemas.microsoft.com/office/drawing/2014/main" id="{CC2A1543-2F05-4739-8EE0-A972046F8ACC}"/>
            </a:ext>
          </a:extLst>
        </xdr:cNvPr>
        <xdr:cNvCxnSpPr/>
      </xdr:nvCxnSpPr>
      <xdr:spPr>
        <a:xfrm>
          <a:off x="7437309" y="4117069"/>
          <a:ext cx="0" cy="101554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196356</xdr:colOff>
      <xdr:row>20</xdr:row>
      <xdr:rowOff>58593</xdr:rowOff>
    </xdr:from>
    <xdr:to>
      <xdr:col>15</xdr:col>
      <xdr:colOff>196356</xdr:colOff>
      <xdr:row>23</xdr:row>
      <xdr:rowOff>66675</xdr:rowOff>
    </xdr:to>
    <xdr:cxnSp macro="">
      <xdr:nvCxnSpPr>
        <xdr:cNvPr id="35" name="Přímá spojnice 34">
          <a:extLst>
            <a:ext uri="{FF2B5EF4-FFF2-40B4-BE49-F238E27FC236}">
              <a16:creationId xmlns:a16="http://schemas.microsoft.com/office/drawing/2014/main" id="{D33B79A9-D29D-4600-B29D-111AE3E1A83F}"/>
            </a:ext>
          </a:extLst>
        </xdr:cNvPr>
        <xdr:cNvCxnSpPr/>
      </xdr:nvCxnSpPr>
      <xdr:spPr>
        <a:xfrm>
          <a:off x="9302256" y="3811443"/>
          <a:ext cx="0" cy="560532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55</xdr:row>
      <xdr:rowOff>0</xdr:rowOff>
    </xdr:from>
    <xdr:to>
      <xdr:col>6</xdr:col>
      <xdr:colOff>127000</xdr:colOff>
      <xdr:row>60</xdr:row>
      <xdr:rowOff>152926</xdr:rowOff>
    </xdr:to>
    <xdr:pic>
      <xdr:nvPicPr>
        <xdr:cNvPr id="36" name="Picture 286" descr="TOP_VIEW">
          <a:extLst>
            <a:ext uri="{FF2B5EF4-FFF2-40B4-BE49-F238E27FC236}">
              <a16:creationId xmlns:a16="http://schemas.microsoft.com/office/drawing/2014/main" id="{7AF1326A-3E98-4E4A-9A76-0E1722DD588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18"/>
        <a:stretch/>
      </xdr:blipFill>
      <xdr:spPr bwMode="auto">
        <a:xfrm>
          <a:off x="0" y="10496550"/>
          <a:ext cx="3765550" cy="1114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330200</xdr:colOff>
      <xdr:row>54</xdr:row>
      <xdr:rowOff>172720</xdr:rowOff>
    </xdr:from>
    <xdr:to>
      <xdr:col>12</xdr:col>
      <xdr:colOff>86666</xdr:colOff>
      <xdr:row>60</xdr:row>
      <xdr:rowOff>144055</xdr:rowOff>
    </xdr:to>
    <xdr:pic>
      <xdr:nvPicPr>
        <xdr:cNvPr id="37" name="Picture 287" descr="TOP_VIEW">
          <a:extLst>
            <a:ext uri="{FF2B5EF4-FFF2-40B4-BE49-F238E27FC236}">
              <a16:creationId xmlns:a16="http://schemas.microsoft.com/office/drawing/2014/main" id="{4CB76B39-59D5-482A-96EC-9335E71FD85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89"/>
        <a:stretch/>
      </xdr:blipFill>
      <xdr:spPr bwMode="auto">
        <a:xfrm>
          <a:off x="3968750" y="10478770"/>
          <a:ext cx="3414066" cy="112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533400</xdr:colOff>
      <xdr:row>55</xdr:row>
      <xdr:rowOff>0</xdr:rowOff>
    </xdr:from>
    <xdr:to>
      <xdr:col>17</xdr:col>
      <xdr:colOff>0</xdr:colOff>
      <xdr:row>64</xdr:row>
      <xdr:rowOff>168628</xdr:rowOff>
    </xdr:to>
    <xdr:pic>
      <xdr:nvPicPr>
        <xdr:cNvPr id="38" name="Picture 360" descr="Image 21-1 Top View">
          <a:extLst>
            <a:ext uri="{FF2B5EF4-FFF2-40B4-BE49-F238E27FC236}">
              <a16:creationId xmlns:a16="http://schemas.microsoft.com/office/drawing/2014/main" id="{BB5E20F9-0B69-4078-A29E-FB3F4A7E9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10496550"/>
          <a:ext cx="2457450" cy="188312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13</xdr:col>
      <xdr:colOff>177800</xdr:colOff>
      <xdr:row>58</xdr:row>
      <xdr:rowOff>0</xdr:rowOff>
    </xdr:from>
    <xdr:to>
      <xdr:col>14</xdr:col>
      <xdr:colOff>203200</xdr:colOff>
      <xdr:row>58</xdr:row>
      <xdr:rowOff>0</xdr:rowOff>
    </xdr:to>
    <xdr:cxnSp macro="">
      <xdr:nvCxnSpPr>
        <xdr:cNvPr id="39" name="Přímá spojnice 38">
          <a:extLst>
            <a:ext uri="{FF2B5EF4-FFF2-40B4-BE49-F238E27FC236}">
              <a16:creationId xmlns:a16="http://schemas.microsoft.com/office/drawing/2014/main" id="{6D1FF7A3-D8DD-41C5-BB3A-43C27E2A6D4B}"/>
            </a:ext>
          </a:extLst>
        </xdr:cNvPr>
        <xdr:cNvCxnSpPr/>
      </xdr:nvCxnSpPr>
      <xdr:spPr>
        <a:xfrm>
          <a:off x="8083550" y="11077575"/>
          <a:ext cx="6159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80667</xdr:colOff>
      <xdr:row>54</xdr:row>
      <xdr:rowOff>112644</xdr:rowOff>
    </xdr:from>
    <xdr:to>
      <xdr:col>1</xdr:col>
      <xdr:colOff>80667</xdr:colOff>
      <xdr:row>55</xdr:row>
      <xdr:rowOff>165652</xdr:rowOff>
    </xdr:to>
    <xdr:cxnSp macro="">
      <xdr:nvCxnSpPr>
        <xdr:cNvPr id="40" name="Přímá spojnice 39">
          <a:extLst>
            <a:ext uri="{FF2B5EF4-FFF2-40B4-BE49-F238E27FC236}">
              <a16:creationId xmlns:a16="http://schemas.microsoft.com/office/drawing/2014/main" id="{AF016934-1A3F-44BF-82E4-8A286A8DC4AF}"/>
            </a:ext>
          </a:extLst>
        </xdr:cNvPr>
        <xdr:cNvCxnSpPr/>
      </xdr:nvCxnSpPr>
      <xdr:spPr>
        <a:xfrm>
          <a:off x="671217" y="10418694"/>
          <a:ext cx="0" cy="243508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120547</xdr:colOff>
      <xdr:row>54</xdr:row>
      <xdr:rowOff>106018</xdr:rowOff>
    </xdr:from>
    <xdr:to>
      <xdr:col>0</xdr:col>
      <xdr:colOff>120547</xdr:colOff>
      <xdr:row>57</xdr:row>
      <xdr:rowOff>91764</xdr:rowOff>
    </xdr:to>
    <xdr:cxnSp macro="">
      <xdr:nvCxnSpPr>
        <xdr:cNvPr id="41" name="Přímá spojnice 40">
          <a:extLst>
            <a:ext uri="{FF2B5EF4-FFF2-40B4-BE49-F238E27FC236}">
              <a16:creationId xmlns:a16="http://schemas.microsoft.com/office/drawing/2014/main" id="{99BCC787-C53B-4A9F-B1FF-4AE88A89C372}"/>
            </a:ext>
          </a:extLst>
        </xdr:cNvPr>
        <xdr:cNvCxnSpPr/>
      </xdr:nvCxnSpPr>
      <xdr:spPr>
        <a:xfrm>
          <a:off x="120547" y="10412068"/>
          <a:ext cx="0" cy="557246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119269</xdr:colOff>
      <xdr:row>55</xdr:row>
      <xdr:rowOff>9052</xdr:rowOff>
    </xdr:from>
    <xdr:to>
      <xdr:col>1</xdr:col>
      <xdr:colOff>79513</xdr:colOff>
      <xdr:row>55</xdr:row>
      <xdr:rowOff>9052</xdr:rowOff>
    </xdr:to>
    <xdr:cxnSp macro="">
      <xdr:nvCxnSpPr>
        <xdr:cNvPr id="42" name="Přímá spojnice 41">
          <a:extLst>
            <a:ext uri="{FF2B5EF4-FFF2-40B4-BE49-F238E27FC236}">
              <a16:creationId xmlns:a16="http://schemas.microsoft.com/office/drawing/2014/main" id="{C1F1D323-A767-4D65-8A86-1AE9998F101E}"/>
            </a:ext>
          </a:extLst>
        </xdr:cNvPr>
        <xdr:cNvCxnSpPr/>
      </xdr:nvCxnSpPr>
      <xdr:spPr>
        <a:xfrm>
          <a:off x="119269" y="10505602"/>
          <a:ext cx="55079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557661</xdr:colOff>
      <xdr:row>54</xdr:row>
      <xdr:rowOff>112646</xdr:rowOff>
    </xdr:from>
    <xdr:to>
      <xdr:col>11</xdr:col>
      <xdr:colOff>557661</xdr:colOff>
      <xdr:row>57</xdr:row>
      <xdr:rowOff>86140</xdr:rowOff>
    </xdr:to>
    <xdr:cxnSp macro="">
      <xdr:nvCxnSpPr>
        <xdr:cNvPr id="43" name="Přímá spojnice 42">
          <a:extLst>
            <a:ext uri="{FF2B5EF4-FFF2-40B4-BE49-F238E27FC236}">
              <a16:creationId xmlns:a16="http://schemas.microsoft.com/office/drawing/2014/main" id="{7C59CDAB-EDDE-4DAD-AB0B-25C697CB5295}"/>
            </a:ext>
          </a:extLst>
        </xdr:cNvPr>
        <xdr:cNvCxnSpPr/>
      </xdr:nvCxnSpPr>
      <xdr:spPr>
        <a:xfrm>
          <a:off x="7244211" y="10418696"/>
          <a:ext cx="0" cy="544994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597541</xdr:colOff>
      <xdr:row>54</xdr:row>
      <xdr:rowOff>106020</xdr:rowOff>
    </xdr:from>
    <xdr:to>
      <xdr:col>10</xdr:col>
      <xdr:colOff>597541</xdr:colOff>
      <xdr:row>55</xdr:row>
      <xdr:rowOff>152400</xdr:rowOff>
    </xdr:to>
    <xdr:cxnSp macro="">
      <xdr:nvCxnSpPr>
        <xdr:cNvPr id="44" name="Přímá spojnice 43">
          <a:extLst>
            <a:ext uri="{FF2B5EF4-FFF2-40B4-BE49-F238E27FC236}">
              <a16:creationId xmlns:a16="http://schemas.microsoft.com/office/drawing/2014/main" id="{5E26F701-981B-4072-988C-34311B8B9E40}"/>
            </a:ext>
          </a:extLst>
        </xdr:cNvPr>
        <xdr:cNvCxnSpPr/>
      </xdr:nvCxnSpPr>
      <xdr:spPr>
        <a:xfrm>
          <a:off x="6674491" y="10412070"/>
          <a:ext cx="0" cy="23688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596263</xdr:colOff>
      <xdr:row>55</xdr:row>
      <xdr:rowOff>9054</xdr:rowOff>
    </xdr:from>
    <xdr:to>
      <xdr:col>11</xdr:col>
      <xdr:colOff>556507</xdr:colOff>
      <xdr:row>55</xdr:row>
      <xdr:rowOff>9054</xdr:rowOff>
    </xdr:to>
    <xdr:cxnSp macro="">
      <xdr:nvCxnSpPr>
        <xdr:cNvPr id="45" name="Přímá spojnice 44">
          <a:extLst>
            <a:ext uri="{FF2B5EF4-FFF2-40B4-BE49-F238E27FC236}">
              <a16:creationId xmlns:a16="http://schemas.microsoft.com/office/drawing/2014/main" id="{478AE75F-B553-473C-B596-E25BB111FE72}"/>
            </a:ext>
          </a:extLst>
        </xdr:cNvPr>
        <xdr:cNvCxnSpPr/>
      </xdr:nvCxnSpPr>
      <xdr:spPr>
        <a:xfrm>
          <a:off x="6673213" y="10505604"/>
          <a:ext cx="56984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393709</xdr:colOff>
      <xdr:row>28</xdr:row>
      <xdr:rowOff>167969</xdr:rowOff>
    </xdr:from>
    <xdr:to>
      <xdr:col>12</xdr:col>
      <xdr:colOff>393709</xdr:colOff>
      <xdr:row>50</xdr:row>
      <xdr:rowOff>76200</xdr:rowOff>
    </xdr:to>
    <xdr:cxnSp macro="">
      <xdr:nvCxnSpPr>
        <xdr:cNvPr id="46" name="Přímá spojnice 45">
          <a:extLst>
            <a:ext uri="{FF2B5EF4-FFF2-40B4-BE49-F238E27FC236}">
              <a16:creationId xmlns:a16="http://schemas.microsoft.com/office/drawing/2014/main" id="{54FF4623-037B-461A-B4B5-3391928327F5}"/>
            </a:ext>
          </a:extLst>
        </xdr:cNvPr>
        <xdr:cNvCxnSpPr/>
      </xdr:nvCxnSpPr>
      <xdr:spPr>
        <a:xfrm>
          <a:off x="7689859" y="5425769"/>
          <a:ext cx="0" cy="4184956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148046</xdr:colOff>
      <xdr:row>27</xdr:row>
      <xdr:rowOff>4825</xdr:rowOff>
    </xdr:from>
    <xdr:to>
      <xdr:col>15</xdr:col>
      <xdr:colOff>61690</xdr:colOff>
      <xdr:row>27</xdr:row>
      <xdr:rowOff>4826</xdr:rowOff>
    </xdr:to>
    <xdr:cxnSp macro="">
      <xdr:nvCxnSpPr>
        <xdr:cNvPr id="47" name="Přímá spojnice 46">
          <a:extLst>
            <a:ext uri="{FF2B5EF4-FFF2-40B4-BE49-F238E27FC236}">
              <a16:creationId xmlns:a16="http://schemas.microsoft.com/office/drawing/2014/main" id="{9910F9F8-C603-48E4-AB52-ECD8B892E2D5}"/>
            </a:ext>
          </a:extLst>
        </xdr:cNvPr>
        <xdr:cNvCxnSpPr/>
      </xdr:nvCxnSpPr>
      <xdr:spPr>
        <a:xfrm>
          <a:off x="7444196" y="5072125"/>
          <a:ext cx="1723394" cy="1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84397</xdr:colOff>
      <xdr:row>55</xdr:row>
      <xdr:rowOff>10755</xdr:rowOff>
    </xdr:from>
    <xdr:to>
      <xdr:col>10</xdr:col>
      <xdr:colOff>596537</xdr:colOff>
      <xdr:row>55</xdr:row>
      <xdr:rowOff>10755</xdr:rowOff>
    </xdr:to>
    <xdr:cxnSp macro="">
      <xdr:nvCxnSpPr>
        <xdr:cNvPr id="48" name="Přímá spojnice 47">
          <a:extLst>
            <a:ext uri="{FF2B5EF4-FFF2-40B4-BE49-F238E27FC236}">
              <a16:creationId xmlns:a16="http://schemas.microsoft.com/office/drawing/2014/main" id="{F28ECC8D-B1B3-4159-8C47-FE216F6B17FA}"/>
            </a:ext>
          </a:extLst>
        </xdr:cNvPr>
        <xdr:cNvCxnSpPr/>
      </xdr:nvCxnSpPr>
      <xdr:spPr>
        <a:xfrm>
          <a:off x="674947" y="10507305"/>
          <a:ext cx="599854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57150</xdr:colOff>
      <xdr:row>61</xdr:row>
      <xdr:rowOff>28575</xdr:rowOff>
    </xdr:from>
    <xdr:to>
      <xdr:col>23</xdr:col>
      <xdr:colOff>542925</xdr:colOff>
      <xdr:row>66</xdr:row>
      <xdr:rowOff>170824</xdr:rowOff>
    </xdr:to>
    <xdr:pic>
      <xdr:nvPicPr>
        <xdr:cNvPr id="49" name="Obrázek Toors">
          <a:extLst>
            <a:ext uri="{FF2B5EF4-FFF2-40B4-BE49-F238E27FC236}">
              <a16:creationId xmlns:a16="http://schemas.microsoft.com/office/drawing/2014/main" id="{60F53079-927F-48A7-865E-3426E0ABD2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36" t="8000" r="5512" b="7201"/>
        <a:stretch/>
      </xdr:blipFill>
      <xdr:spPr bwMode="auto">
        <a:xfrm>
          <a:off x="13296900" y="11687175"/>
          <a:ext cx="1076325" cy="1066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165463</xdr:colOff>
      <xdr:row>16</xdr:row>
      <xdr:rowOff>143691</xdr:rowOff>
    </xdr:from>
    <xdr:to>
      <xdr:col>15</xdr:col>
      <xdr:colOff>101659</xdr:colOff>
      <xdr:row>19</xdr:row>
      <xdr:rowOff>105555</xdr:rowOff>
    </xdr:to>
    <xdr:pic>
      <xdr:nvPicPr>
        <xdr:cNvPr id="50" name="Obrázek 49">
          <a:extLst>
            <a:ext uri="{FF2B5EF4-FFF2-40B4-BE49-F238E27FC236}">
              <a16:creationId xmlns:a16="http://schemas.microsoft.com/office/drawing/2014/main" id="{C389B52E-F3F0-46A6-9863-DD923FE085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38718"/>
        <a:stretch/>
      </xdr:blipFill>
      <xdr:spPr>
        <a:xfrm>
          <a:off x="756013" y="3172641"/>
          <a:ext cx="8451546" cy="504789"/>
        </a:xfrm>
        <a:prstGeom prst="rect">
          <a:avLst/>
        </a:prstGeom>
      </xdr:spPr>
    </xdr:pic>
    <xdr:clientData/>
  </xdr:twoCellAnchor>
  <xdr:twoCellAnchor>
    <xdr:from>
      <xdr:col>11</xdr:col>
      <xdr:colOff>4525</xdr:colOff>
      <xdr:row>13</xdr:row>
      <xdr:rowOff>128953</xdr:rowOff>
    </xdr:from>
    <xdr:to>
      <xdr:col>11</xdr:col>
      <xdr:colOff>4525</xdr:colOff>
      <xdr:row>17</xdr:row>
      <xdr:rowOff>120162</xdr:rowOff>
    </xdr:to>
    <xdr:cxnSp macro="">
      <xdr:nvCxnSpPr>
        <xdr:cNvPr id="51" name="Přímá spojnice 50">
          <a:extLst>
            <a:ext uri="{FF2B5EF4-FFF2-40B4-BE49-F238E27FC236}">
              <a16:creationId xmlns:a16="http://schemas.microsoft.com/office/drawing/2014/main" id="{A3E3D033-EC9D-4E92-832F-CA548B0182A7}"/>
            </a:ext>
          </a:extLst>
        </xdr:cNvPr>
        <xdr:cNvCxnSpPr/>
      </xdr:nvCxnSpPr>
      <xdr:spPr>
        <a:xfrm>
          <a:off x="6691075" y="2614978"/>
          <a:ext cx="0" cy="715109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6275</xdr:colOff>
      <xdr:row>14</xdr:row>
      <xdr:rowOff>72232</xdr:rowOff>
    </xdr:from>
    <xdr:to>
      <xdr:col>15</xdr:col>
      <xdr:colOff>90103</xdr:colOff>
      <xdr:row>14</xdr:row>
      <xdr:rowOff>72233</xdr:rowOff>
    </xdr:to>
    <xdr:cxnSp macro="">
      <xdr:nvCxnSpPr>
        <xdr:cNvPr id="52" name="Přímá spojnice 51">
          <a:extLst>
            <a:ext uri="{FF2B5EF4-FFF2-40B4-BE49-F238E27FC236}">
              <a16:creationId xmlns:a16="http://schemas.microsoft.com/office/drawing/2014/main" id="{0F204CBE-72FA-454F-A5BE-EA5F8BDC25D9}"/>
            </a:ext>
          </a:extLst>
        </xdr:cNvPr>
        <xdr:cNvCxnSpPr/>
      </xdr:nvCxnSpPr>
      <xdr:spPr>
        <a:xfrm>
          <a:off x="6692825" y="2739232"/>
          <a:ext cx="2503178" cy="1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584554</xdr:colOff>
      <xdr:row>14</xdr:row>
      <xdr:rowOff>139446</xdr:rowOff>
    </xdr:from>
    <xdr:to>
      <xdr:col>3</xdr:col>
      <xdr:colOff>584554</xdr:colOff>
      <xdr:row>19</xdr:row>
      <xdr:rowOff>105228</xdr:rowOff>
    </xdr:to>
    <xdr:cxnSp macro="">
      <xdr:nvCxnSpPr>
        <xdr:cNvPr id="53" name="Přímá spojnice 52">
          <a:extLst>
            <a:ext uri="{FF2B5EF4-FFF2-40B4-BE49-F238E27FC236}">
              <a16:creationId xmlns:a16="http://schemas.microsoft.com/office/drawing/2014/main" id="{945B1948-1E99-435F-8D6B-CC9E03C815D0}"/>
            </a:ext>
          </a:extLst>
        </xdr:cNvPr>
        <xdr:cNvCxnSpPr/>
      </xdr:nvCxnSpPr>
      <xdr:spPr>
        <a:xfrm>
          <a:off x="2394304" y="2806446"/>
          <a:ext cx="0" cy="870657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583578</xdr:colOff>
      <xdr:row>15</xdr:row>
      <xdr:rowOff>77560</xdr:rowOff>
    </xdr:from>
    <xdr:to>
      <xdr:col>5</xdr:col>
      <xdr:colOff>388257</xdr:colOff>
      <xdr:row>15</xdr:row>
      <xdr:rowOff>77560</xdr:rowOff>
    </xdr:to>
    <xdr:cxnSp macro="">
      <xdr:nvCxnSpPr>
        <xdr:cNvPr id="54" name="Přímá spojnice 53">
          <a:extLst>
            <a:ext uri="{FF2B5EF4-FFF2-40B4-BE49-F238E27FC236}">
              <a16:creationId xmlns:a16="http://schemas.microsoft.com/office/drawing/2014/main" id="{AECAE38F-DF32-40DA-B96E-58F43685F6F5}"/>
            </a:ext>
          </a:extLst>
        </xdr:cNvPr>
        <xdr:cNvCxnSpPr/>
      </xdr:nvCxnSpPr>
      <xdr:spPr>
        <a:xfrm>
          <a:off x="2393328" y="2925535"/>
          <a:ext cx="1023879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388714</xdr:colOff>
      <xdr:row>14</xdr:row>
      <xdr:rowOff>139428</xdr:rowOff>
    </xdr:from>
    <xdr:to>
      <xdr:col>5</xdr:col>
      <xdr:colOff>388714</xdr:colOff>
      <xdr:row>16</xdr:row>
      <xdr:rowOff>137886</xdr:rowOff>
    </xdr:to>
    <xdr:cxnSp macro="">
      <xdr:nvCxnSpPr>
        <xdr:cNvPr id="55" name="Přímá spojnice 54">
          <a:extLst>
            <a:ext uri="{FF2B5EF4-FFF2-40B4-BE49-F238E27FC236}">
              <a16:creationId xmlns:a16="http://schemas.microsoft.com/office/drawing/2014/main" id="{6F6FA91A-3D4A-41B6-A090-5E1DE23B589F}"/>
            </a:ext>
          </a:extLst>
        </xdr:cNvPr>
        <xdr:cNvCxnSpPr/>
      </xdr:nvCxnSpPr>
      <xdr:spPr>
        <a:xfrm>
          <a:off x="3417664" y="2806428"/>
          <a:ext cx="0" cy="360408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oor-documents.com/en/guardy-installation-drawing-lhr-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EA37A-87D1-4C56-867A-F9FA114CFF8D}">
  <sheetPr codeName="List5">
    <tabColor theme="9" tint="-0.249977111117893"/>
  </sheetPr>
  <dimension ref="A1:AC67"/>
  <sheetViews>
    <sheetView showGridLines="0" tabSelected="1" view="pageBreakPreview" topLeftCell="B1" zoomScale="80" zoomScaleNormal="50" zoomScaleSheetLayoutView="80" workbookViewId="0">
      <selection activeCell="D4" sqref="D4:D5"/>
    </sheetView>
  </sheetViews>
  <sheetFormatPr defaultRowHeight="15" x14ac:dyDescent="0.25"/>
  <cols>
    <col min="1" max="1" width="8.85546875" customWidth="1"/>
    <col min="14" max="14" width="8.85546875" customWidth="1"/>
    <col min="16" max="23" width="8.85546875" customWidth="1"/>
    <col min="26" max="27" width="8.85546875" customWidth="1"/>
  </cols>
  <sheetData>
    <row r="1" spans="1:27" ht="19.5" thickBot="1" x14ac:dyDescent="0.35">
      <c r="G1" s="1"/>
      <c r="H1" s="1"/>
      <c r="I1" s="1"/>
      <c r="J1" s="1"/>
      <c r="K1" s="1"/>
    </row>
    <row r="2" spans="1:27" x14ac:dyDescent="0.25">
      <c r="A2" s="2" t="s">
        <v>0</v>
      </c>
      <c r="B2" s="3"/>
      <c r="C2" s="3"/>
      <c r="D2" s="4"/>
      <c r="I2" s="5" t="str">
        <f>Translation!E37</f>
        <v>Šířka stavebního otvoru (W) [mm]</v>
      </c>
      <c r="J2" s="6"/>
      <c r="R2" s="5" t="str">
        <f>Translation!E13</f>
        <v>Hloubka vedení (D) [mm]</v>
      </c>
      <c r="S2" s="7" t="str">
        <f>IF(J4="","",VLOOKUP(J4,Selections!E38:F44,2,TRUE))</f>
        <v/>
      </c>
      <c r="Y2" s="5" t="str">
        <f>Translation!E43</f>
        <v>Typ pohonu</v>
      </c>
      <c r="Z2" s="8"/>
    </row>
    <row r="3" spans="1:27" ht="14.45" customHeight="1" thickBot="1" x14ac:dyDescent="0.3">
      <c r="A3" s="9" t="s">
        <v>1</v>
      </c>
      <c r="D3" s="10"/>
      <c r="J3" s="11"/>
      <c r="K3" s="12" t="str">
        <f>IF(J2/1000*J4/1000&lt;14,"","W x H max. 14m2")</f>
        <v/>
      </c>
      <c r="L3" s="13"/>
      <c r="S3" s="14"/>
      <c r="Z3" s="15"/>
    </row>
    <row r="4" spans="1:27" ht="14.45" customHeight="1" x14ac:dyDescent="0.25">
      <c r="A4" s="9" t="s">
        <v>2</v>
      </c>
      <c r="D4" s="6" t="s">
        <v>3</v>
      </c>
      <c r="I4" s="5" t="str">
        <f>Translation!E27</f>
        <v>Výška stavebního otvoru (H) [mm]</v>
      </c>
      <c r="J4" s="6"/>
      <c r="K4" s="12"/>
      <c r="L4" s="13"/>
      <c r="R4" s="5" t="str">
        <f>Translation!E17</f>
        <v>Spodní hrana horizontálního vedení (K) [mm]</v>
      </c>
      <c r="S4" s="7" t="str">
        <f>IF(J4="","",J4-47)</f>
        <v/>
      </c>
      <c r="Y4" s="5" t="str">
        <f>Translation!E15</f>
        <v>Délka pohonu (X) [mm]</v>
      </c>
      <c r="Z4" s="7" t="str">
        <f>IF(Z2="","",IF(Z2=Selections!K38,VLOOKUP(J4,Selections!K39:L40,2,TRUE),IF(Z2=Selections!K42,VLOOKUP(J4,Selections!K43:L44,2,TRUE),IF(Z2=Selections!K46,VLOOKUP(J4,Selections!K47:L48,2,TRUE),"Error"))))</f>
        <v/>
      </c>
    </row>
    <row r="5" spans="1:27" ht="15" customHeight="1" thickBot="1" x14ac:dyDescent="0.3">
      <c r="A5" s="9" t="s">
        <v>4</v>
      </c>
      <c r="D5" s="11"/>
      <c r="J5" s="16"/>
      <c r="S5" s="14"/>
      <c r="Z5" s="14"/>
    </row>
    <row r="6" spans="1:27" ht="14.45" customHeight="1" x14ac:dyDescent="0.25">
      <c r="A6" s="9" t="s">
        <v>5</v>
      </c>
      <c r="D6" s="10"/>
      <c r="I6" s="5" t="str">
        <f>Translation!E38</f>
        <v>Ovládání</v>
      </c>
      <c r="J6" s="17"/>
      <c r="K6" s="18"/>
      <c r="R6" s="5" t="str">
        <f>Translation!E11</f>
        <v>Spodní hrana plně otevřených vrat (CPH) [mm]</v>
      </c>
      <c r="S6" s="7" t="str">
        <f>IF(J6="","",IF(J6=Selections!C38,'LHR-C'!J4-75,IF(J6=Selections!C39,'LHR-C'!J4-0,"Error")))</f>
        <v/>
      </c>
      <c r="Y6" s="5" t="str">
        <f>Translation!E19</f>
        <v>Kotvící bod lišty pohonu (E1) [mm]</v>
      </c>
      <c r="Z6" s="7" t="str">
        <f>IF(Z2="","",IF(Z2=Selections!Q38,VLOOKUP(J4,Selections!Q39:R40,2,TRUE),IF(Z2=Selections!Q42,VLOOKUP(J4,Selections!Q43:R44,2,TRUE),IF(Z2=Selections!Q46,VLOOKUP(J4,Selections!Q47:R48,2,TRUE),"Error"))))</f>
        <v/>
      </c>
    </row>
    <row r="7" spans="1:27" ht="15" customHeight="1" thickBot="1" x14ac:dyDescent="0.3">
      <c r="A7" s="19" t="s">
        <v>6</v>
      </c>
      <c r="B7" s="20"/>
      <c r="C7" s="20"/>
      <c r="D7" s="21"/>
      <c r="J7" s="22"/>
      <c r="K7" s="23"/>
      <c r="S7" s="14"/>
      <c r="Z7" s="14"/>
    </row>
    <row r="8" spans="1:27" ht="14.45" customHeight="1" x14ac:dyDescent="0.25">
      <c r="I8" s="5" t="str">
        <f>Translation!E45</f>
        <v>Umístění horního těsnění</v>
      </c>
      <c r="J8" s="17"/>
      <c r="K8" s="18"/>
      <c r="R8" s="5" t="str">
        <f>Translation!E42</f>
        <v>Výška nádpraží (F) [mm]</v>
      </c>
      <c r="S8" s="7" t="str">
        <f>IF(OR(J6="",J8=""),"",Selections!I42+Selections!I43)</f>
        <v/>
      </c>
      <c r="Y8" s="5" t="str">
        <f>Translation!E21</f>
        <v>Kotvící bod pohonu (E2) [mm]</v>
      </c>
      <c r="Z8" s="7" t="str">
        <f>IF(Z2="","",IF(Z2=Selections!N38,VLOOKUP(J4,Selections!N39:O40,2,TRUE),IF(Z2=Selections!N42,VLOOKUP(J4,Selections!N43:O44,2,TRUE),IF(Z2=Selections!N46,VLOOKUP(J4,Selections!N47:O48,2,TRUE),"Error"))))</f>
        <v/>
      </c>
    </row>
    <row r="9" spans="1:27" ht="14.45" customHeight="1" thickBot="1" x14ac:dyDescent="0.3">
      <c r="J9" s="22"/>
      <c r="K9" s="23"/>
      <c r="S9" s="14"/>
      <c r="Z9" s="14"/>
    </row>
    <row r="10" spans="1:27" ht="15" customHeight="1" x14ac:dyDescent="0.25"/>
    <row r="11" spans="1:27" x14ac:dyDescent="0.25">
      <c r="A11" s="24" t="s">
        <v>7</v>
      </c>
      <c r="B11" s="24"/>
      <c r="H11" t="str">
        <f>IF(OR(J4="",Z2=""),"X","X = "&amp;Z4)</f>
        <v>X</v>
      </c>
    </row>
    <row r="12" spans="1:27" x14ac:dyDescent="0.25">
      <c r="H12" s="25" t="str">
        <f>IF(OR(J4="",Z2=""),"E2","E2 = "&amp;Z8)</f>
        <v>E2</v>
      </c>
    </row>
    <row r="13" spans="1:27" x14ac:dyDescent="0.25">
      <c r="A13" s="26"/>
      <c r="H13" s="25"/>
      <c r="I13" s="25" t="str">
        <f>IF(J4="","D","D = "&amp;S2)</f>
        <v>D</v>
      </c>
    </row>
    <row r="14" spans="1:27" ht="14.45" customHeight="1" x14ac:dyDescent="0.25">
      <c r="I14" s="25"/>
      <c r="M14" s="25" t="str">
        <f>IF(OR(J4="",Z2=""),"E1","E1 = "&amp;Z6)</f>
        <v>E1</v>
      </c>
    </row>
    <row r="15" spans="1:27" ht="14.45" customHeight="1" x14ac:dyDescent="0.25">
      <c r="E15" s="25" t="s">
        <v>8</v>
      </c>
      <c r="F15" s="25"/>
      <c r="M15" s="25"/>
      <c r="N15" s="25" t="str">
        <f>IF(OR(J2&gt;3000,J4&gt;2500),"Y2 = 800","Y2")</f>
        <v>Y2</v>
      </c>
    </row>
    <row r="16" spans="1:27" ht="14.45" customHeight="1" x14ac:dyDescent="0.25">
      <c r="E16" s="25"/>
      <c r="F16" s="25"/>
      <c r="M16" s="26"/>
      <c r="N16" s="25"/>
      <c r="W16" s="27"/>
      <c r="X16" s="27"/>
      <c r="Y16" s="27"/>
      <c r="Z16" s="27"/>
      <c r="AA16" s="27"/>
    </row>
    <row r="17" spans="3:27" ht="14.45" customHeight="1" x14ac:dyDescent="0.25">
      <c r="W17" s="27"/>
      <c r="X17" s="27"/>
      <c r="Y17" s="27"/>
      <c r="Z17" s="27"/>
      <c r="AA17" s="27"/>
    </row>
    <row r="18" spans="3:27" ht="14.45" customHeight="1" x14ac:dyDescent="0.25">
      <c r="W18" s="27"/>
      <c r="X18" s="27"/>
      <c r="Y18" s="27"/>
      <c r="Z18" s="27"/>
      <c r="AA18" s="27"/>
    </row>
    <row r="19" spans="3:27" ht="14.45" customHeight="1" x14ac:dyDescent="0.25">
      <c r="T19" s="5" t="s">
        <v>9</v>
      </c>
      <c r="U19" t="str">
        <f>Translation!E36</f>
        <v>Šířka stavebního otvoru [mm]</v>
      </c>
      <c r="W19" s="27"/>
      <c r="X19" s="27"/>
      <c r="Y19" s="27"/>
      <c r="Z19" s="27"/>
      <c r="AA19" s="27"/>
    </row>
    <row r="20" spans="3:27" ht="14.45" customHeight="1" x14ac:dyDescent="0.25">
      <c r="T20" s="5" t="s">
        <v>10</v>
      </c>
      <c r="U20" t="str">
        <f>Translation!E26</f>
        <v>Výška stavebního otvoru [mm]</v>
      </c>
      <c r="W20" s="27"/>
      <c r="X20" s="27"/>
      <c r="Y20" s="27"/>
      <c r="Z20" s="27"/>
      <c r="AA20" s="27"/>
    </row>
    <row r="21" spans="3:27" ht="14.45" customHeight="1" x14ac:dyDescent="0.25">
      <c r="C21">
        <v>212</v>
      </c>
      <c r="T21" s="5" t="s">
        <v>11</v>
      </c>
      <c r="U21" t="str">
        <f>Translation!E12</f>
        <v>Hloubka vedení [mm]</v>
      </c>
      <c r="W21" s="27"/>
      <c r="X21" s="27"/>
      <c r="Y21" s="27"/>
      <c r="Z21" s="27"/>
      <c r="AA21" s="27"/>
    </row>
    <row r="22" spans="3:27" ht="15" customHeight="1" x14ac:dyDescent="0.25">
      <c r="C22" s="28"/>
      <c r="T22" s="5" t="s">
        <v>12</v>
      </c>
      <c r="U22" t="str">
        <f>Translation!E16</f>
        <v>Spodní hrana horizontálního vedení [mm]</v>
      </c>
    </row>
    <row r="23" spans="3:27" ht="14.45" customHeight="1" x14ac:dyDescent="0.25">
      <c r="C23" s="29"/>
      <c r="P23" s="30" t="s">
        <v>10</v>
      </c>
      <c r="T23" s="5" t="s">
        <v>13</v>
      </c>
      <c r="U23" t="str">
        <f>Translation!E41</f>
        <v>Výška nádpraží [mm]</v>
      </c>
    </row>
    <row r="24" spans="3:27" ht="15" customHeight="1" x14ac:dyDescent="0.25">
      <c r="C24" s="31" t="str">
        <f>Translation!E34</f>
        <v>Zásuvka typu CEE 7/3 nebo CEE 7/5</v>
      </c>
      <c r="T24" s="5" t="s">
        <v>14</v>
      </c>
      <c r="U24" t="str">
        <f>Translation!E8</f>
        <v>Výška stropu [mm]</v>
      </c>
    </row>
    <row r="25" spans="3:27" x14ac:dyDescent="0.25">
      <c r="C25" s="31" t="str">
        <f>Translation!E35</f>
        <v>230V, 50Hz, jištěno 6 A (10 A) jističem</v>
      </c>
      <c r="T25" s="5" t="s">
        <v>15</v>
      </c>
      <c r="U25" t="str">
        <f>Translation!E10</f>
        <v>Spodní hrana plně otevřených vrat [mm]</v>
      </c>
    </row>
    <row r="26" spans="3:27" x14ac:dyDescent="0.25">
      <c r="T26" s="5" t="s">
        <v>16</v>
      </c>
      <c r="U26" t="str">
        <f>Translation!E22</f>
        <v>Kotvící bod</v>
      </c>
    </row>
    <row r="27" spans="3:27" x14ac:dyDescent="0.25">
      <c r="M27">
        <v>500</v>
      </c>
      <c r="T27" s="5" t="s">
        <v>17</v>
      </c>
      <c r="U27" t="str">
        <f>Translation!E23</f>
        <v>Kotvící bod (W&gt;3000 nebo H&gt;2500)</v>
      </c>
    </row>
    <row r="28" spans="3:27" x14ac:dyDescent="0.25">
      <c r="T28" s="5" t="s">
        <v>18</v>
      </c>
      <c r="U28" t="str">
        <f>Translation!E14</f>
        <v>Délka pohonu [mm]</v>
      </c>
    </row>
    <row r="29" spans="3:27" x14ac:dyDescent="0.25">
      <c r="N29" s="29"/>
      <c r="T29" s="5" t="s">
        <v>19</v>
      </c>
      <c r="U29" t="str">
        <f>Translation!E18</f>
        <v>Kotvící bod lišty pohonu [mm]</v>
      </c>
    </row>
    <row r="30" spans="3:27" x14ac:dyDescent="0.25">
      <c r="T30" s="5" t="s">
        <v>20</v>
      </c>
      <c r="U30" t="str">
        <f>Translation!E20</f>
        <v>Kotvící bod pohonu [mm]</v>
      </c>
    </row>
    <row r="31" spans="3:27" x14ac:dyDescent="0.25">
      <c r="T31" s="5" t="s">
        <v>21</v>
      </c>
      <c r="U31" t="str">
        <f>Translation!E33</f>
        <v>Pozice zásuvky, cca. 250 mm</v>
      </c>
    </row>
    <row r="32" spans="3:27" ht="14.45" customHeight="1" x14ac:dyDescent="0.25">
      <c r="T32" s="5" t="s">
        <v>22</v>
      </c>
      <c r="U32" s="32" t="str">
        <f>Translation!E50</f>
        <v>průjezdná výška může být snížena příslušenstvím nainstalovaným na vnitřní straně vratového křídla (madlo, výztuha apod.)</v>
      </c>
      <c r="V32" s="32"/>
      <c r="W32" s="32"/>
      <c r="X32" s="32"/>
      <c r="Y32" s="32"/>
      <c r="Z32" s="32"/>
      <c r="AA32" s="32"/>
    </row>
    <row r="33" spans="7:27" x14ac:dyDescent="0.25">
      <c r="P33" s="33" t="str">
        <f>IF(OR(J4="",S6=""),"CPH","CPH = "&amp;S6)</f>
        <v>CPH</v>
      </c>
      <c r="Q33" s="34" t="str">
        <f>IF(OR(J4="",S8=""),"CEL = H + 90","CEL = "&amp;J4+S8)</f>
        <v>CEL = H + 90</v>
      </c>
      <c r="T33" s="35"/>
      <c r="U33" s="32"/>
      <c r="V33" s="32"/>
      <c r="W33" s="32"/>
      <c r="X33" s="32"/>
      <c r="Y33" s="32"/>
      <c r="Z33" s="32"/>
      <c r="AA33" s="32"/>
    </row>
    <row r="34" spans="7:27" ht="14.45" customHeight="1" x14ac:dyDescent="0.25">
      <c r="G34" s="34" t="str">
        <f>IF(J4="","H - 87",J4-87)</f>
        <v>H - 87</v>
      </c>
      <c r="L34" s="34" t="str">
        <f>IF(J4="","K = H - 47","K = "&amp;S4)</f>
        <v>K = H - 47</v>
      </c>
      <c r="M34" s="34" t="str">
        <f>IF(J4="","H - 415",J4-415)</f>
        <v>H - 415</v>
      </c>
      <c r="P34" s="33"/>
      <c r="Q34" s="34"/>
      <c r="T34" s="35"/>
      <c r="U34" s="32"/>
      <c r="V34" s="32"/>
      <c r="W34" s="32"/>
      <c r="X34" s="32"/>
      <c r="Y34" s="32"/>
      <c r="Z34" s="32"/>
      <c r="AA34" s="32"/>
    </row>
    <row r="35" spans="7:27" ht="17.25" x14ac:dyDescent="0.25">
      <c r="G35" s="34"/>
      <c r="L35" s="34"/>
      <c r="M35" s="34"/>
      <c r="P35" s="33"/>
      <c r="Q35" s="34"/>
      <c r="T35" s="5" t="s">
        <v>23</v>
      </c>
      <c r="U35" t="str">
        <f>Translation!E51</f>
        <v>při použití zarážky vratového křídla</v>
      </c>
    </row>
    <row r="36" spans="7:27" ht="15.75" thickBot="1" x14ac:dyDescent="0.3">
      <c r="G36" s="34"/>
      <c r="L36" s="34"/>
      <c r="M36" s="34"/>
      <c r="P36" s="33"/>
      <c r="Q36" s="34"/>
    </row>
    <row r="37" spans="7:27" x14ac:dyDescent="0.25">
      <c r="G37" s="34"/>
      <c r="L37" s="34"/>
      <c r="M37" s="34"/>
      <c r="P37" s="33"/>
      <c r="Q37" s="34"/>
      <c r="S37" s="36" t="s">
        <v>10</v>
      </c>
      <c r="T37" s="37"/>
      <c r="U37" s="38" t="s">
        <v>11</v>
      </c>
      <c r="V37" s="39" t="s">
        <v>12</v>
      </c>
      <c r="W37" s="40" t="str">
        <f>Translation!E6</f>
        <v>Vrata bez motoru</v>
      </c>
      <c r="X37" s="41"/>
      <c r="Y37" s="42"/>
      <c r="Z37" s="40" t="str">
        <f>Translation!E7</f>
        <v>Vrata s motorem</v>
      </c>
      <c r="AA37" s="42"/>
    </row>
    <row r="38" spans="7:27" ht="18" thickBot="1" x14ac:dyDescent="0.3">
      <c r="O38" s="5"/>
      <c r="P38" s="5"/>
      <c r="S38" s="43" t="s">
        <v>24</v>
      </c>
      <c r="T38" s="44" t="s">
        <v>25</v>
      </c>
      <c r="U38" s="45"/>
      <c r="V38" s="46"/>
      <c r="W38" s="47" t="s">
        <v>26</v>
      </c>
      <c r="X38" s="48" t="s">
        <v>27</v>
      </c>
      <c r="Y38" s="44" t="s">
        <v>28</v>
      </c>
      <c r="Z38" s="47" t="str">
        <f>W38</f>
        <v>min. CEL</v>
      </c>
      <c r="AA38" s="44" t="s">
        <v>27</v>
      </c>
    </row>
    <row r="39" spans="7:27" x14ac:dyDescent="0.25">
      <c r="K39" s="26"/>
      <c r="S39" s="49"/>
      <c r="T39" s="50">
        <v>2000</v>
      </c>
      <c r="U39" s="51">
        <f t="shared" ref="U39:U45" si="0">T39+575+120</f>
        <v>2695</v>
      </c>
      <c r="V39" s="52" t="s">
        <v>29</v>
      </c>
      <c r="W39" s="53" t="s">
        <v>30</v>
      </c>
      <c r="X39" s="54" t="s">
        <v>31</v>
      </c>
      <c r="Y39" s="55" t="s">
        <v>10</v>
      </c>
      <c r="Z39" s="53" t="s">
        <v>32</v>
      </c>
      <c r="AA39" s="55" t="s">
        <v>10</v>
      </c>
    </row>
    <row r="40" spans="7:27" x14ac:dyDescent="0.25">
      <c r="S40" s="56">
        <f>T39+1</f>
        <v>2001</v>
      </c>
      <c r="T40" s="57">
        <v>2125</v>
      </c>
      <c r="U40" s="58">
        <f t="shared" si="0"/>
        <v>2820</v>
      </c>
      <c r="V40" s="59"/>
      <c r="W40" s="60"/>
      <c r="X40" s="61"/>
      <c r="Y40" s="62"/>
      <c r="Z40" s="60"/>
      <c r="AA40" s="62"/>
    </row>
    <row r="41" spans="7:27" x14ac:dyDescent="0.25">
      <c r="S41" s="56">
        <f t="shared" ref="S41:S45" si="1">T40+1</f>
        <v>2126</v>
      </c>
      <c r="T41" s="57">
        <v>2250</v>
      </c>
      <c r="U41" s="58">
        <f t="shared" si="0"/>
        <v>2945</v>
      </c>
      <c r="V41" s="59"/>
      <c r="W41" s="60"/>
      <c r="X41" s="61"/>
      <c r="Y41" s="62"/>
      <c r="Z41" s="60"/>
      <c r="AA41" s="62"/>
    </row>
    <row r="42" spans="7:27" x14ac:dyDescent="0.25">
      <c r="S42" s="56">
        <f t="shared" si="1"/>
        <v>2251</v>
      </c>
      <c r="T42" s="57">
        <v>2375</v>
      </c>
      <c r="U42" s="58">
        <f t="shared" si="0"/>
        <v>3070</v>
      </c>
      <c r="V42" s="59"/>
      <c r="W42" s="60"/>
      <c r="X42" s="61"/>
      <c r="Y42" s="62"/>
      <c r="Z42" s="60"/>
      <c r="AA42" s="62"/>
    </row>
    <row r="43" spans="7:27" x14ac:dyDescent="0.25">
      <c r="S43" s="56">
        <f t="shared" si="1"/>
        <v>2376</v>
      </c>
      <c r="T43" s="57">
        <v>2500</v>
      </c>
      <c r="U43" s="58">
        <f t="shared" si="0"/>
        <v>3195</v>
      </c>
      <c r="V43" s="59"/>
      <c r="W43" s="60"/>
      <c r="X43" s="61"/>
      <c r="Y43" s="62"/>
      <c r="Z43" s="60"/>
      <c r="AA43" s="62"/>
    </row>
    <row r="44" spans="7:27" x14ac:dyDescent="0.25">
      <c r="S44" s="56">
        <f t="shared" si="1"/>
        <v>2501</v>
      </c>
      <c r="T44" s="57">
        <v>2750</v>
      </c>
      <c r="U44" s="58">
        <f t="shared" si="0"/>
        <v>3445</v>
      </c>
      <c r="V44" s="59"/>
      <c r="W44" s="60"/>
      <c r="X44" s="61"/>
      <c r="Y44" s="62"/>
      <c r="Z44" s="60"/>
      <c r="AA44" s="62"/>
    </row>
    <row r="45" spans="7:27" ht="15.75" thickBot="1" x14ac:dyDescent="0.3">
      <c r="S45" s="63">
        <f t="shared" si="1"/>
        <v>2751</v>
      </c>
      <c r="T45" s="64">
        <v>3000</v>
      </c>
      <c r="U45" s="65">
        <f t="shared" si="0"/>
        <v>3695</v>
      </c>
      <c r="V45" s="66"/>
      <c r="W45" s="67"/>
      <c r="X45" s="68"/>
      <c r="Y45" s="69"/>
      <c r="Z45" s="67"/>
      <c r="AA45" s="69"/>
    </row>
    <row r="47" spans="7:27" x14ac:dyDescent="0.25">
      <c r="Y47" s="5"/>
    </row>
    <row r="48" spans="7:27" ht="15.75" thickBot="1" x14ac:dyDescent="0.3">
      <c r="N48">
        <v>150</v>
      </c>
      <c r="T48" s="5"/>
      <c r="Y48" s="70"/>
    </row>
    <row r="49" spans="1:29" ht="15.75" thickBot="1" x14ac:dyDescent="0.3">
      <c r="S49" s="71">
        <f>Translation!C44</f>
        <v>0</v>
      </c>
      <c r="T49" s="72"/>
      <c r="U49" s="72"/>
      <c r="V49" s="72"/>
      <c r="W49" s="72"/>
      <c r="X49" s="72"/>
      <c r="Y49" s="72"/>
      <c r="Z49" s="72"/>
      <c r="AA49" s="72"/>
      <c r="AB49" s="72"/>
      <c r="AC49" s="73"/>
    </row>
    <row r="50" spans="1:29" x14ac:dyDescent="0.25">
      <c r="S50" s="74" t="s">
        <v>10</v>
      </c>
      <c r="T50" s="75"/>
      <c r="U50" s="40" t="s">
        <v>18</v>
      </c>
      <c r="V50" s="41"/>
      <c r="W50" s="42"/>
      <c r="X50" s="40" t="s">
        <v>19</v>
      </c>
      <c r="Y50" s="41"/>
      <c r="Z50" s="42"/>
      <c r="AA50" s="40" t="s">
        <v>20</v>
      </c>
      <c r="AB50" s="41"/>
      <c r="AC50" s="42"/>
    </row>
    <row r="51" spans="1:29" ht="15.75" thickBot="1" x14ac:dyDescent="0.3">
      <c r="S51" s="43" t="s">
        <v>24</v>
      </c>
      <c r="T51" s="44" t="s">
        <v>25</v>
      </c>
      <c r="U51" s="47" t="s">
        <v>33</v>
      </c>
      <c r="V51" s="76" t="s">
        <v>34</v>
      </c>
      <c r="W51" s="77" t="s">
        <v>35</v>
      </c>
      <c r="X51" s="47" t="str">
        <f>U51</f>
        <v>Black</v>
      </c>
      <c r="Y51" s="76" t="str">
        <f>V51</f>
        <v>RUN 600</v>
      </c>
      <c r="Z51" s="77" t="s">
        <v>35</v>
      </c>
      <c r="AA51" s="47" t="str">
        <f>X51</f>
        <v>Black</v>
      </c>
      <c r="AB51" s="76" t="str">
        <f>Y51</f>
        <v>RUN 600</v>
      </c>
      <c r="AC51" s="77" t="s">
        <v>35</v>
      </c>
    </row>
    <row r="52" spans="1:29" x14ac:dyDescent="0.25">
      <c r="S52" s="78"/>
      <c r="T52" s="79">
        <v>2000</v>
      </c>
      <c r="U52" s="80">
        <v>3540</v>
      </c>
      <c r="V52" s="81">
        <v>3100</v>
      </c>
      <c r="W52" s="82">
        <f>Selections!L47</f>
        <v>3680</v>
      </c>
      <c r="X52" s="83">
        <v>1400</v>
      </c>
      <c r="Y52" s="84"/>
      <c r="Z52" s="82">
        <f>Selections!R47</f>
        <v>1800</v>
      </c>
      <c r="AA52" s="83">
        <v>3265</v>
      </c>
      <c r="AB52" s="81">
        <v>2950</v>
      </c>
      <c r="AC52" s="85">
        <f>Selections!O47</f>
        <v>3480</v>
      </c>
    </row>
    <row r="53" spans="1:29" x14ac:dyDescent="0.25">
      <c r="B53" t="str">
        <f>Translation!E52</f>
        <v>Minimální únosnost stropu/maximální zatížení v každém kotevním bodě: 100 kg</v>
      </c>
      <c r="S53" s="86">
        <f>T52+1</f>
        <v>2001</v>
      </c>
      <c r="T53" s="87">
        <v>2125</v>
      </c>
      <c r="U53" s="88"/>
      <c r="V53" s="89"/>
      <c r="W53" s="90"/>
      <c r="X53" s="88"/>
      <c r="Y53" s="91"/>
      <c r="Z53" s="90"/>
      <c r="AA53" s="88"/>
      <c r="AB53" s="89"/>
      <c r="AC53" s="92"/>
    </row>
    <row r="54" spans="1:29" x14ac:dyDescent="0.25">
      <c r="S54" s="86">
        <f t="shared" ref="S54:S58" si="2">T53+1</f>
        <v>2126</v>
      </c>
      <c r="T54" s="87">
        <v>2250</v>
      </c>
      <c r="U54" s="88"/>
      <c r="V54" s="93">
        <f>U56</f>
        <v>4240</v>
      </c>
      <c r="W54" s="90"/>
      <c r="X54" s="88"/>
      <c r="Y54" s="91"/>
      <c r="Z54" s="90"/>
      <c r="AA54" s="88"/>
      <c r="AB54" s="93">
        <v>4060</v>
      </c>
      <c r="AC54" s="92"/>
    </row>
    <row r="55" spans="1:29" x14ac:dyDescent="0.25">
      <c r="A55" s="5" t="s">
        <v>36</v>
      </c>
      <c r="F55" t="s">
        <v>9</v>
      </c>
      <c r="L55" t="s">
        <v>37</v>
      </c>
      <c r="S55" s="86">
        <f t="shared" si="2"/>
        <v>2251</v>
      </c>
      <c r="T55" s="87">
        <v>2375</v>
      </c>
      <c r="U55" s="88"/>
      <c r="V55" s="93"/>
      <c r="W55" s="90"/>
      <c r="X55" s="88"/>
      <c r="Y55" s="91"/>
      <c r="Z55" s="90"/>
      <c r="AA55" s="88"/>
      <c r="AB55" s="93"/>
      <c r="AC55" s="92"/>
    </row>
    <row r="56" spans="1:29" x14ac:dyDescent="0.25">
      <c r="S56" s="86">
        <f t="shared" si="2"/>
        <v>2376</v>
      </c>
      <c r="T56" s="87">
        <v>2500</v>
      </c>
      <c r="U56" s="88">
        <v>4240</v>
      </c>
      <c r="V56" s="93"/>
      <c r="W56" s="94"/>
      <c r="X56" s="88"/>
      <c r="Y56" s="91"/>
      <c r="Z56" s="94"/>
      <c r="AA56" s="88">
        <v>3975</v>
      </c>
      <c r="AB56" s="93"/>
      <c r="AC56" s="95"/>
    </row>
    <row r="57" spans="1:29" x14ac:dyDescent="0.25">
      <c r="S57" s="86">
        <f t="shared" si="2"/>
        <v>2501</v>
      </c>
      <c r="T57" s="87">
        <v>2750</v>
      </c>
      <c r="U57" s="88"/>
      <c r="V57" s="93"/>
      <c r="W57" s="90">
        <f>Selections!L48</f>
        <v>4160</v>
      </c>
      <c r="X57" s="88"/>
      <c r="Y57" s="91"/>
      <c r="Z57" s="90">
        <f>Selections!R48</f>
        <v>2050</v>
      </c>
      <c r="AA57" s="88"/>
      <c r="AB57" s="93"/>
      <c r="AC57" s="92">
        <f>Selections!O48</f>
        <v>3960</v>
      </c>
    </row>
    <row r="58" spans="1:29" ht="15.75" thickBot="1" x14ac:dyDescent="0.3">
      <c r="N58">
        <v>54</v>
      </c>
      <c r="S58" s="96">
        <f t="shared" si="2"/>
        <v>2751</v>
      </c>
      <c r="T58" s="97">
        <v>3000</v>
      </c>
      <c r="U58" s="98"/>
      <c r="V58" s="99"/>
      <c r="W58" s="100"/>
      <c r="X58" s="98"/>
      <c r="Y58" s="101"/>
      <c r="Z58" s="100"/>
      <c r="AA58" s="98"/>
      <c r="AB58" s="99"/>
      <c r="AC58" s="102"/>
    </row>
    <row r="61" spans="1:29" ht="15.75" thickBot="1" x14ac:dyDescent="0.3"/>
    <row r="62" spans="1:29" x14ac:dyDescent="0.25">
      <c r="W62" s="2"/>
      <c r="X62" s="103" t="s">
        <v>38</v>
      </c>
      <c r="Y62" s="104" t="s">
        <v>38</v>
      </c>
      <c r="Z62" s="105"/>
      <c r="AA62" s="105"/>
      <c r="AB62" s="105"/>
      <c r="AC62" s="106"/>
    </row>
    <row r="63" spans="1:29" ht="14.45" customHeight="1" x14ac:dyDescent="0.25">
      <c r="W63" s="9"/>
      <c r="X63" s="107"/>
      <c r="Y63" s="108" t="s">
        <v>39</v>
      </c>
      <c r="Z63" s="109"/>
      <c r="AA63" s="109"/>
      <c r="AB63" s="109"/>
      <c r="AC63" s="110"/>
    </row>
    <row r="64" spans="1:29" ht="14.45" customHeight="1" x14ac:dyDescent="0.25">
      <c r="W64" s="9"/>
      <c r="X64" s="107"/>
      <c r="Y64" s="111"/>
      <c r="Z64" s="112"/>
      <c r="AA64" s="112"/>
      <c r="AB64" s="112"/>
      <c r="AC64" s="113"/>
    </row>
    <row r="65" spans="23:29" ht="14.45" customHeight="1" x14ac:dyDescent="0.25">
      <c r="W65" s="9"/>
      <c r="X65" s="107"/>
      <c r="Y65" s="114"/>
      <c r="Z65" s="115"/>
      <c r="AA65" s="115"/>
      <c r="AB65" s="115"/>
      <c r="AC65" s="116"/>
    </row>
    <row r="66" spans="23:29" x14ac:dyDescent="0.25">
      <c r="W66" s="9"/>
      <c r="X66" s="107"/>
      <c r="Y66" s="117"/>
      <c r="Z66" s="118"/>
      <c r="AA66" s="119"/>
      <c r="AB66" s="120" t="str">
        <f>Translation!E31</f>
        <v>Verze:</v>
      </c>
      <c r="AC66" s="121" t="str">
        <f>Translation!E32</f>
        <v>Formát:</v>
      </c>
    </row>
    <row r="67" spans="23:29" ht="15.75" thickBot="1" x14ac:dyDescent="0.3">
      <c r="W67" s="19"/>
      <c r="X67" s="122"/>
      <c r="Y67" s="123"/>
      <c r="Z67" s="20">
        <v>2341</v>
      </c>
      <c r="AA67" s="122"/>
      <c r="AB67" s="76">
        <v>2341</v>
      </c>
      <c r="AC67" s="77" t="s">
        <v>40</v>
      </c>
    </row>
  </sheetData>
  <sheetProtection algorithmName="SHA-512" hashValue="xhAH+dCs4QTPrGDdrSb0ztOcjLbcHZwiUIBbM5sDeZbcofSSKoPweH74M+apNDsv/pTCaV49r1s6NhbwDx+oyw==" saltValue="FIOhCHcWSPls+WEj8NgZgg==" spinCount="100000" sheet="1" objects="1" scenarios="1" selectLockedCells="1"/>
  <mergeCells count="59">
    <mergeCell ref="Y62:AC62"/>
    <mergeCell ref="Y63:AC65"/>
    <mergeCell ref="AA52:AA55"/>
    <mergeCell ref="AB52:AB53"/>
    <mergeCell ref="AC52:AC56"/>
    <mergeCell ref="V54:V58"/>
    <mergeCell ref="AB54:AB58"/>
    <mergeCell ref="U56:U58"/>
    <mergeCell ref="AA56:AA58"/>
    <mergeCell ref="W57:W58"/>
    <mergeCell ref="Z57:Z58"/>
    <mergeCell ref="AC57:AC58"/>
    <mergeCell ref="S49:AC49"/>
    <mergeCell ref="S50:T50"/>
    <mergeCell ref="U50:W50"/>
    <mergeCell ref="X50:Z50"/>
    <mergeCell ref="AA50:AC50"/>
    <mergeCell ref="U52:U55"/>
    <mergeCell ref="V52:V53"/>
    <mergeCell ref="W52:W56"/>
    <mergeCell ref="X52:Y58"/>
    <mergeCell ref="Z52:Z56"/>
    <mergeCell ref="Z37:AA37"/>
    <mergeCell ref="V39:V45"/>
    <mergeCell ref="W39:W45"/>
    <mergeCell ref="X39:X45"/>
    <mergeCell ref="Y39:Y45"/>
    <mergeCell ref="Z39:Z45"/>
    <mergeCell ref="AA39:AA45"/>
    <mergeCell ref="U32:AA34"/>
    <mergeCell ref="P33:P37"/>
    <mergeCell ref="Q33:Q37"/>
    <mergeCell ref="G34:G37"/>
    <mergeCell ref="L34:L37"/>
    <mergeCell ref="M34:M37"/>
    <mergeCell ref="S37:T37"/>
    <mergeCell ref="U37:U38"/>
    <mergeCell ref="V37:V38"/>
    <mergeCell ref="W37:Y37"/>
    <mergeCell ref="A11:B11"/>
    <mergeCell ref="H12:H13"/>
    <mergeCell ref="I13:I14"/>
    <mergeCell ref="M14:M15"/>
    <mergeCell ref="E15:F16"/>
    <mergeCell ref="N15:N16"/>
    <mergeCell ref="J6:K7"/>
    <mergeCell ref="S6:S7"/>
    <mergeCell ref="Z6:Z7"/>
    <mergeCell ref="J8:K9"/>
    <mergeCell ref="S8:S9"/>
    <mergeCell ref="Z8:Z9"/>
    <mergeCell ref="J2:J3"/>
    <mergeCell ref="S2:S3"/>
    <mergeCell ref="Z2:Z3"/>
    <mergeCell ref="K3:L4"/>
    <mergeCell ref="D4:D5"/>
    <mergeCell ref="J4:J5"/>
    <mergeCell ref="S4:S5"/>
    <mergeCell ref="Z4:Z5"/>
  </mergeCells>
  <dataValidations count="2">
    <dataValidation type="whole" operator="lessThanOrEqual" allowBlank="1" showInputMessage="1" showErrorMessage="1" errorTitle="Max = 5500 mm" sqref="J2:J3" xr:uid="{3A3A49AC-F225-4F69-B217-158A9E037CA6}">
      <formula1>5500</formula1>
    </dataValidation>
    <dataValidation type="whole" operator="lessThanOrEqual" allowBlank="1" showInputMessage="1" showErrorMessage="1" errorTitle="Max. = 3000 mm" sqref="J4:J5" xr:uid="{DF1CDE68-2BEC-4781-87AF-6258A4EB9E30}">
      <formula1>3000</formula1>
    </dataValidation>
  </dataValidations>
  <hyperlinks>
    <hyperlink ref="Y62" r:id="rId1" xr:uid="{A3C7F4DB-B446-4F6F-A7E2-E43A635AA739}"/>
  </hyperlinks>
  <printOptions horizontalCentered="1" verticalCentered="1"/>
  <pageMargins left="0.11811023622047245" right="0.11811023622047245" top="0.19685039370078741" bottom="0.19685039370078741" header="0" footer="0"/>
  <pageSetup paperSize="9" scale="55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67BA44B-58D0-42A9-BAB7-5962A2CC0161}">
          <x14:formula1>
            <xm:f>Selections!$C$42:$C$44</xm:f>
          </x14:formula1>
          <xm:sqref>J8:K9</xm:sqref>
        </x14:dataValidation>
        <x14:dataValidation type="list" allowBlank="1" showInputMessage="1" showErrorMessage="1" xr:uid="{3AC1514E-6869-4F05-AC99-6149F971BC1A}">
          <x14:formula1>
            <xm:f>Selections!$C$37:$C$39</xm:f>
          </x14:formula1>
          <xm:sqref>J6:K7</xm:sqref>
        </x14:dataValidation>
        <x14:dataValidation type="list" allowBlank="1" showInputMessage="1" showErrorMessage="1" xr:uid="{A74C2A99-84D2-4EB6-94FD-4F3F50175945}">
          <x14:formula1>
            <xm:f>Selections!$I$37:$I$40</xm:f>
          </x14:formula1>
          <xm:sqref>Z2:Z3</xm:sqref>
        </x14:dataValidation>
        <x14:dataValidation type="list" allowBlank="1" showErrorMessage="1" xr:uid="{4132D084-9A02-4965-B922-71EC6D1CD772}">
          <x14:formula1>
            <xm:f>Selections!$A$2:$A$9</xm:f>
          </x14:formula1>
          <xm:sqref>D4:D5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DE6C7-662A-40CE-A55E-C7F72B66BCD6}">
  <sheetPr codeName="List2"/>
  <dimension ref="A1:AE69"/>
  <sheetViews>
    <sheetView topLeftCell="K1" zoomScale="80" zoomScaleNormal="80" workbookViewId="0">
      <pane ySplit="2" topLeftCell="A3" activePane="bottomLeft" state="frozen"/>
      <selection activeCell="Z12" sqref="Z12"/>
      <selection pane="bottomLeft" activeCell="L32" sqref="L32"/>
    </sheetView>
  </sheetViews>
  <sheetFormatPr defaultRowHeight="15" x14ac:dyDescent="0.25"/>
  <cols>
    <col min="1" max="1" width="9.85546875" bestFit="1" customWidth="1"/>
    <col min="2" max="2" width="9.85546875" style="126" customWidth="1"/>
    <col min="3" max="3" width="9.85546875" customWidth="1"/>
    <col min="4" max="4" width="9.85546875" style="126" customWidth="1"/>
    <col min="5" max="5" width="9.85546875" customWidth="1"/>
    <col min="6" max="6" width="9.85546875" style="126" customWidth="1"/>
    <col min="7" max="7" width="9.85546875" customWidth="1"/>
    <col min="8" max="8" width="9.85546875" style="126" customWidth="1"/>
    <col min="9" max="9" width="44.7109375" bestFit="1" customWidth="1"/>
    <col min="10" max="10" width="63.140625" bestFit="1" customWidth="1"/>
    <col min="11" max="11" width="82.5703125" customWidth="1"/>
    <col min="12" max="12" width="71" customWidth="1"/>
    <col min="13" max="13" width="96.140625" customWidth="1"/>
    <col min="14" max="14" width="82.7109375" bestFit="1" customWidth="1"/>
    <col min="15" max="15" width="109.28515625" bestFit="1" customWidth="1"/>
  </cols>
  <sheetData>
    <row r="1" spans="1:16" x14ac:dyDescent="0.25">
      <c r="A1" s="124"/>
      <c r="B1" s="125"/>
      <c r="C1" s="124"/>
      <c r="D1" s="125"/>
      <c r="E1" s="124" t="s">
        <v>43</v>
      </c>
      <c r="F1" s="125"/>
      <c r="G1" s="124"/>
      <c r="H1" s="125"/>
    </row>
    <row r="2" spans="1:16" x14ac:dyDescent="0.25">
      <c r="E2">
        <f>IF(ISERROR(VLOOKUP('LHR-C'!D4,Selections!A1:B12,2,FALSE))=TRUE,"Translation not available",VLOOKUP('LHR-C'!D4,Selections!A1:B12,2,FALSE))</f>
        <v>1</v>
      </c>
      <c r="I2" t="s">
        <v>3</v>
      </c>
      <c r="J2" t="s">
        <v>45</v>
      </c>
      <c r="K2" t="s">
        <v>46</v>
      </c>
      <c r="L2" t="s">
        <v>47</v>
      </c>
      <c r="M2" t="s">
        <v>48</v>
      </c>
      <c r="N2" t="s">
        <v>49</v>
      </c>
      <c r="O2" t="s">
        <v>50</v>
      </c>
      <c r="P2" s="127" t="s">
        <v>51</v>
      </c>
    </row>
    <row r="3" spans="1:16" x14ac:dyDescent="0.25">
      <c r="E3" t="str">
        <f t="shared" ref="E3:H18" si="0">VLOOKUP($I3,$I:$T,E$2,FALSE)</f>
        <v>Obecná</v>
      </c>
      <c r="I3" t="s">
        <v>52</v>
      </c>
      <c r="J3" t="s">
        <v>53</v>
      </c>
      <c r="K3" s="128" t="s">
        <v>54</v>
      </c>
      <c r="L3" s="128" t="s">
        <v>55</v>
      </c>
      <c r="M3" s="128" t="s">
        <v>56</v>
      </c>
      <c r="N3" s="128" t="s">
        <v>57</v>
      </c>
      <c r="O3" s="128" t="s">
        <v>58</v>
      </c>
      <c r="P3" s="127" t="s">
        <v>59</v>
      </c>
    </row>
    <row r="4" spans="1:16" x14ac:dyDescent="0.25">
      <c r="E4" t="str">
        <f t="shared" si="0"/>
        <v>výška [mm]</v>
      </c>
      <c r="I4" t="s">
        <v>60</v>
      </c>
      <c r="J4" t="s">
        <v>61</v>
      </c>
      <c r="K4" s="128" t="s">
        <v>62</v>
      </c>
      <c r="L4" s="128" t="s">
        <v>63</v>
      </c>
      <c r="M4" s="128" t="s">
        <v>64</v>
      </c>
      <c r="N4" s="128" t="s">
        <v>65</v>
      </c>
      <c r="O4" s="128" t="s">
        <v>66</v>
      </c>
      <c r="P4" s="127" t="s">
        <v>67</v>
      </c>
    </row>
    <row r="5" spans="1:16" x14ac:dyDescent="0.25">
      <c r="E5" t="str">
        <f t="shared" si="0"/>
        <v>Min. výška stropu [mm]</v>
      </c>
      <c r="I5" t="s">
        <v>68</v>
      </c>
      <c r="J5" t="s">
        <v>69</v>
      </c>
      <c r="K5" s="128" t="s">
        <v>70</v>
      </c>
      <c r="L5" s="128" t="s">
        <v>71</v>
      </c>
      <c r="M5" s="128" t="s">
        <v>72</v>
      </c>
      <c r="N5" s="128" t="s">
        <v>73</v>
      </c>
      <c r="O5" s="128" t="s">
        <v>74</v>
      </c>
      <c r="P5" s="127" t="s">
        <v>75</v>
      </c>
    </row>
    <row r="6" spans="1:16" x14ac:dyDescent="0.25">
      <c r="E6" t="str">
        <f t="shared" si="0"/>
        <v>Vrata bez motoru</v>
      </c>
      <c r="I6" t="s">
        <v>76</v>
      </c>
      <c r="J6" t="s">
        <v>77</v>
      </c>
      <c r="K6" s="128" t="s">
        <v>78</v>
      </c>
      <c r="L6" s="128" t="s">
        <v>79</v>
      </c>
      <c r="M6" s="128" t="s">
        <v>80</v>
      </c>
      <c r="N6" s="128" t="s">
        <v>81</v>
      </c>
      <c r="O6" s="128" t="s">
        <v>82</v>
      </c>
      <c r="P6" s="127" t="s">
        <v>83</v>
      </c>
    </row>
    <row r="7" spans="1:16" x14ac:dyDescent="0.25">
      <c r="E7" t="str">
        <f t="shared" si="0"/>
        <v>Vrata s motorem</v>
      </c>
      <c r="I7" t="s">
        <v>84</v>
      </c>
      <c r="J7" t="s">
        <v>85</v>
      </c>
      <c r="K7" s="128" t="s">
        <v>86</v>
      </c>
      <c r="L7" s="128" t="s">
        <v>87</v>
      </c>
      <c r="M7" s="128" t="s">
        <v>88</v>
      </c>
      <c r="N7" s="128" t="s">
        <v>89</v>
      </c>
      <c r="O7" s="128" t="s">
        <v>90</v>
      </c>
      <c r="P7" s="127" t="s">
        <v>91</v>
      </c>
    </row>
    <row r="8" spans="1:16" x14ac:dyDescent="0.25">
      <c r="E8" t="str">
        <f t="shared" si="0"/>
        <v>Výška stropu [mm]</v>
      </c>
      <c r="I8" t="s">
        <v>92</v>
      </c>
      <c r="J8" t="s">
        <v>93</v>
      </c>
      <c r="K8" s="128" t="s">
        <v>94</v>
      </c>
      <c r="L8" s="128" t="s">
        <v>95</v>
      </c>
      <c r="M8" s="128" t="s">
        <v>96</v>
      </c>
      <c r="N8" s="128" t="s">
        <v>97</v>
      </c>
      <c r="O8" s="128" t="s">
        <v>98</v>
      </c>
      <c r="P8" s="127" t="s">
        <v>99</v>
      </c>
    </row>
    <row r="9" spans="1:16" x14ac:dyDescent="0.25">
      <c r="E9" t="str">
        <f t="shared" si="0"/>
        <v>Výška ke spodní hraně překladového profilu [mm]</v>
      </c>
      <c r="I9" t="s">
        <v>100</v>
      </c>
      <c r="J9" t="s">
        <v>101</v>
      </c>
      <c r="K9" s="128" t="s">
        <v>102</v>
      </c>
      <c r="L9" s="128" t="s">
        <v>103</v>
      </c>
      <c r="M9" s="128" t="s">
        <v>104</v>
      </c>
      <c r="N9" s="128" t="s">
        <v>105</v>
      </c>
      <c r="O9" t="s">
        <v>106</v>
      </c>
      <c r="P9" s="127" t="s">
        <v>107</v>
      </c>
    </row>
    <row r="10" spans="1:16" x14ac:dyDescent="0.25">
      <c r="E10" t="str">
        <f t="shared" si="0"/>
        <v>Spodní hrana plně otevřených vrat [mm]</v>
      </c>
      <c r="I10" t="s">
        <v>108</v>
      </c>
      <c r="J10" t="s">
        <v>109</v>
      </c>
      <c r="K10" s="128" t="s">
        <v>110</v>
      </c>
      <c r="L10" s="128" t="s">
        <v>111</v>
      </c>
      <c r="M10" s="128" t="s">
        <v>112</v>
      </c>
      <c r="N10" s="128" t="s">
        <v>113</v>
      </c>
      <c r="O10" t="s">
        <v>114</v>
      </c>
      <c r="P10" s="127" t="s">
        <v>115</v>
      </c>
    </row>
    <row r="11" spans="1:16" x14ac:dyDescent="0.25">
      <c r="E11" t="str">
        <f t="shared" si="0"/>
        <v>Spodní hrana plně otevřených vrat (CPH) [mm]</v>
      </c>
      <c r="I11" t="s">
        <v>116</v>
      </c>
      <c r="J11" t="s">
        <v>117</v>
      </c>
      <c r="K11" s="128" t="s">
        <v>118</v>
      </c>
      <c r="L11" s="128" t="s">
        <v>119</v>
      </c>
      <c r="M11" s="128" t="s">
        <v>120</v>
      </c>
      <c r="N11" s="128" t="s">
        <v>121</v>
      </c>
      <c r="O11" t="s">
        <v>122</v>
      </c>
      <c r="P11" s="127" t="s">
        <v>123</v>
      </c>
    </row>
    <row r="12" spans="1:16" x14ac:dyDescent="0.25">
      <c r="E12" t="str">
        <f t="shared" si="0"/>
        <v>Hloubka vedení [mm]</v>
      </c>
      <c r="I12" s="129" t="s">
        <v>124</v>
      </c>
      <c r="J12" s="129" t="s">
        <v>125</v>
      </c>
      <c r="K12" s="28" t="s">
        <v>126</v>
      </c>
      <c r="L12" s="28" t="s">
        <v>127</v>
      </c>
      <c r="M12" s="28" t="s">
        <v>128</v>
      </c>
      <c r="N12" s="28" t="s">
        <v>129</v>
      </c>
      <c r="O12" s="28" t="s">
        <v>130</v>
      </c>
      <c r="P12" s="127" t="s">
        <v>131</v>
      </c>
    </row>
    <row r="13" spans="1:16" x14ac:dyDescent="0.25">
      <c r="E13" t="str">
        <f t="shared" si="0"/>
        <v>Hloubka vedení (D) [mm]</v>
      </c>
      <c r="I13" s="129" t="s">
        <v>132</v>
      </c>
      <c r="J13" s="129" t="s">
        <v>133</v>
      </c>
      <c r="K13" s="28" t="s">
        <v>134</v>
      </c>
      <c r="L13" s="28" t="s">
        <v>135</v>
      </c>
      <c r="M13" s="28" t="s">
        <v>136</v>
      </c>
      <c r="N13" s="28" t="s">
        <v>137</v>
      </c>
      <c r="O13" s="28" t="s">
        <v>138</v>
      </c>
      <c r="P13" s="127" t="s">
        <v>139</v>
      </c>
    </row>
    <row r="14" spans="1:16" x14ac:dyDescent="0.25">
      <c r="E14" t="str">
        <f t="shared" si="0"/>
        <v>Délka pohonu [mm]</v>
      </c>
      <c r="I14" s="129" t="s">
        <v>140</v>
      </c>
      <c r="J14" s="129" t="s">
        <v>141</v>
      </c>
      <c r="K14" s="28" t="s">
        <v>142</v>
      </c>
      <c r="L14" s="28" t="s">
        <v>143</v>
      </c>
      <c r="M14" s="28" t="s">
        <v>144</v>
      </c>
      <c r="N14" s="28" t="s">
        <v>145</v>
      </c>
      <c r="O14" t="s">
        <v>146</v>
      </c>
      <c r="P14" s="127" t="s">
        <v>147</v>
      </c>
    </row>
    <row r="15" spans="1:16" x14ac:dyDescent="0.25">
      <c r="E15" t="str">
        <f t="shared" si="0"/>
        <v>Délka pohonu (X) [mm]</v>
      </c>
      <c r="I15" s="129" t="s">
        <v>148</v>
      </c>
      <c r="J15" s="129" t="s">
        <v>149</v>
      </c>
      <c r="K15" s="28" t="s">
        <v>150</v>
      </c>
      <c r="L15" s="28" t="s">
        <v>151</v>
      </c>
      <c r="M15" s="28" t="s">
        <v>152</v>
      </c>
      <c r="N15" s="28" t="s">
        <v>153</v>
      </c>
      <c r="O15" t="s">
        <v>154</v>
      </c>
      <c r="P15" s="127" t="s">
        <v>155</v>
      </c>
    </row>
    <row r="16" spans="1:16" x14ac:dyDescent="0.25">
      <c r="E16" t="str">
        <f t="shared" si="0"/>
        <v>Spodní hrana horizontálního vedení [mm]</v>
      </c>
      <c r="I16" s="129" t="s">
        <v>156</v>
      </c>
      <c r="J16" s="129" t="s">
        <v>157</v>
      </c>
      <c r="K16" s="128" t="s">
        <v>158</v>
      </c>
      <c r="L16" s="28" t="s">
        <v>159</v>
      </c>
      <c r="M16" s="128" t="s">
        <v>160</v>
      </c>
      <c r="N16" s="28" t="s">
        <v>161</v>
      </c>
      <c r="O16" t="s">
        <v>162</v>
      </c>
      <c r="P16" s="127" t="s">
        <v>163</v>
      </c>
    </row>
    <row r="17" spans="5:16" x14ac:dyDescent="0.25">
      <c r="E17" t="str">
        <f t="shared" si="0"/>
        <v>Spodní hrana horizontálního vedení (K) [mm]</v>
      </c>
      <c r="I17" s="129" t="s">
        <v>164</v>
      </c>
      <c r="J17" s="129" t="s">
        <v>165</v>
      </c>
      <c r="K17" s="128" t="s">
        <v>166</v>
      </c>
      <c r="L17" s="28" t="s">
        <v>167</v>
      </c>
      <c r="M17" s="128" t="s">
        <v>168</v>
      </c>
      <c r="N17" s="28" t="s">
        <v>169</v>
      </c>
      <c r="O17" t="s">
        <v>170</v>
      </c>
      <c r="P17" s="127" t="s">
        <v>171</v>
      </c>
    </row>
    <row r="18" spans="5:16" x14ac:dyDescent="0.25">
      <c r="E18" t="str">
        <f t="shared" si="0"/>
        <v>Kotvící bod lišty pohonu [mm]</v>
      </c>
      <c r="I18" s="129" t="s">
        <v>172</v>
      </c>
      <c r="J18" s="129" t="s">
        <v>173</v>
      </c>
      <c r="K18" s="28" t="s">
        <v>174</v>
      </c>
      <c r="L18" s="28" t="s">
        <v>175</v>
      </c>
      <c r="M18" s="28" t="s">
        <v>176</v>
      </c>
      <c r="N18" s="28" t="s">
        <v>177</v>
      </c>
      <c r="O18" s="28" t="s">
        <v>178</v>
      </c>
      <c r="P18" s="127" t="s">
        <v>179</v>
      </c>
    </row>
    <row r="19" spans="5:16" x14ac:dyDescent="0.25">
      <c r="E19" t="str">
        <f t="shared" ref="A4:H54" si="1">VLOOKUP($I19,$I:$T,E$2,FALSE)</f>
        <v>Kotvící bod lišty pohonu (E1) [mm]</v>
      </c>
      <c r="I19" s="129" t="s">
        <v>180</v>
      </c>
      <c r="J19" s="129" t="s">
        <v>181</v>
      </c>
      <c r="K19" s="28" t="s">
        <v>182</v>
      </c>
      <c r="L19" s="28" t="s">
        <v>183</v>
      </c>
      <c r="M19" s="28" t="s">
        <v>184</v>
      </c>
      <c r="N19" s="28" t="s">
        <v>185</v>
      </c>
      <c r="O19" s="28" t="s">
        <v>186</v>
      </c>
      <c r="P19" s="127" t="s">
        <v>187</v>
      </c>
    </row>
    <row r="20" spans="5:16" x14ac:dyDescent="0.25">
      <c r="E20" t="str">
        <f t="shared" si="1"/>
        <v>Kotvící bod pohonu [mm]</v>
      </c>
      <c r="I20" s="129" t="s">
        <v>188</v>
      </c>
      <c r="J20" s="129" t="s">
        <v>189</v>
      </c>
      <c r="K20" s="28" t="s">
        <v>190</v>
      </c>
      <c r="L20" s="28" t="s">
        <v>191</v>
      </c>
      <c r="M20" s="28" t="s">
        <v>192</v>
      </c>
      <c r="N20" s="28" t="s">
        <v>193</v>
      </c>
      <c r="O20" s="28" t="s">
        <v>194</v>
      </c>
      <c r="P20" s="127" t="s">
        <v>195</v>
      </c>
    </row>
    <row r="21" spans="5:16" x14ac:dyDescent="0.25">
      <c r="E21" t="str">
        <f t="shared" si="1"/>
        <v>Kotvící bod pohonu (E2) [mm]</v>
      </c>
      <c r="I21" s="129" t="s">
        <v>196</v>
      </c>
      <c r="J21" s="129" t="s">
        <v>197</v>
      </c>
      <c r="K21" s="28" t="s">
        <v>198</v>
      </c>
      <c r="L21" s="28" t="s">
        <v>199</v>
      </c>
      <c r="M21" s="28" t="s">
        <v>200</v>
      </c>
      <c r="N21" s="28" t="s">
        <v>201</v>
      </c>
      <c r="O21" s="28" t="s">
        <v>202</v>
      </c>
      <c r="P21" s="127" t="s">
        <v>203</v>
      </c>
    </row>
    <row r="22" spans="5:16" x14ac:dyDescent="0.25">
      <c r="E22" t="str">
        <f t="shared" si="1"/>
        <v>Kotvící bod</v>
      </c>
      <c r="I22" s="129" t="s">
        <v>204</v>
      </c>
      <c r="J22" s="129" t="s">
        <v>205</v>
      </c>
      <c r="K22" s="28" t="s">
        <v>206</v>
      </c>
      <c r="L22" s="28" t="s">
        <v>207</v>
      </c>
      <c r="M22" s="28" t="s">
        <v>208</v>
      </c>
      <c r="N22" s="28" t="s">
        <v>209</v>
      </c>
      <c r="O22" s="28" t="s">
        <v>210</v>
      </c>
      <c r="P22" s="127" t="s">
        <v>211</v>
      </c>
    </row>
    <row r="23" spans="5:16" x14ac:dyDescent="0.25">
      <c r="E23" t="str">
        <f t="shared" si="1"/>
        <v>Kotvící bod (W&gt;3000 nebo H&gt;2500)</v>
      </c>
      <c r="I23" s="129" t="s">
        <v>212</v>
      </c>
      <c r="J23" s="129" t="s">
        <v>213</v>
      </c>
      <c r="K23" s="28" t="s">
        <v>214</v>
      </c>
      <c r="L23" s="28" t="s">
        <v>215</v>
      </c>
      <c r="M23" s="28" t="s">
        <v>216</v>
      </c>
      <c r="N23" s="28" t="s">
        <v>217</v>
      </c>
      <c r="O23" s="28" t="s">
        <v>218</v>
      </c>
      <c r="P23" s="127" t="s">
        <v>219</v>
      </c>
    </row>
    <row r="24" spans="5:16" x14ac:dyDescent="0.25">
      <c r="E24" t="str">
        <f t="shared" si="1"/>
        <v>Standardní montáž</v>
      </c>
      <c r="I24" s="129" t="s">
        <v>220</v>
      </c>
      <c r="J24" s="129" t="s">
        <v>221</v>
      </c>
      <c r="K24" s="28" t="s">
        <v>222</v>
      </c>
      <c r="L24" s="28" t="s">
        <v>223</v>
      </c>
      <c r="M24" s="28" t="s">
        <v>224</v>
      </c>
      <c r="N24" s="28" t="s">
        <v>225</v>
      </c>
      <c r="O24" s="28" t="s">
        <v>226</v>
      </c>
      <c r="P24" s="127" t="s">
        <v>227</v>
      </c>
    </row>
    <row r="25" spans="5:16" x14ac:dyDescent="0.25">
      <c r="E25" t="str">
        <f t="shared" si="1"/>
        <v>Alternativní montáž</v>
      </c>
      <c r="I25" s="129" t="s">
        <v>228</v>
      </c>
      <c r="J25" s="129" t="s">
        <v>229</v>
      </c>
      <c r="K25" s="28" t="s">
        <v>230</v>
      </c>
      <c r="L25" s="28" t="s">
        <v>231</v>
      </c>
      <c r="M25" s="28" t="s">
        <v>232</v>
      </c>
      <c r="N25" s="28" t="s">
        <v>233</v>
      </c>
      <c r="O25" t="s">
        <v>234</v>
      </c>
      <c r="P25" s="127" t="s">
        <v>235</v>
      </c>
    </row>
    <row r="26" spans="5:16" x14ac:dyDescent="0.25">
      <c r="E26" t="str">
        <f t="shared" si="1"/>
        <v>Výška stavebního otvoru [mm]</v>
      </c>
      <c r="I26" s="129" t="s">
        <v>236</v>
      </c>
      <c r="J26" s="129" t="s">
        <v>237</v>
      </c>
      <c r="K26" s="28" t="s">
        <v>238</v>
      </c>
      <c r="L26" s="28" t="s">
        <v>239</v>
      </c>
      <c r="M26" s="28" t="s">
        <v>240</v>
      </c>
      <c r="N26" s="28" t="s">
        <v>241</v>
      </c>
      <c r="O26" s="28" t="s">
        <v>242</v>
      </c>
      <c r="P26" s="127" t="s">
        <v>243</v>
      </c>
    </row>
    <row r="27" spans="5:16" x14ac:dyDescent="0.25">
      <c r="E27" t="str">
        <f t="shared" si="1"/>
        <v>Výška stavebního otvoru (H) [mm]</v>
      </c>
      <c r="I27" s="129" t="s">
        <v>244</v>
      </c>
      <c r="J27" s="129" t="s">
        <v>245</v>
      </c>
      <c r="K27" s="28" t="s">
        <v>246</v>
      </c>
      <c r="L27" s="28" t="s">
        <v>247</v>
      </c>
      <c r="M27" s="28" t="s">
        <v>248</v>
      </c>
      <c r="N27" s="28" t="s">
        <v>249</v>
      </c>
      <c r="O27" t="s">
        <v>250</v>
      </c>
      <c r="P27" s="127" t="s">
        <v>251</v>
      </c>
    </row>
    <row r="28" spans="5:16" x14ac:dyDescent="0.25">
      <c r="E28" t="str">
        <f t="shared" si="1"/>
        <v>Standardní situace</v>
      </c>
      <c r="I28" s="129" t="s">
        <v>252</v>
      </c>
      <c r="J28" s="129" t="s">
        <v>253</v>
      </c>
      <c r="K28" s="28" t="s">
        <v>254</v>
      </c>
      <c r="L28" s="28" t="s">
        <v>255</v>
      </c>
      <c r="M28" s="28" t="s">
        <v>256</v>
      </c>
      <c r="N28" s="28" t="s">
        <v>257</v>
      </c>
      <c r="O28" s="28" t="s">
        <v>258</v>
      </c>
      <c r="P28" s="127" t="s">
        <v>259</v>
      </c>
    </row>
    <row r="29" spans="5:16" x14ac:dyDescent="0.25">
      <c r="E29" t="str">
        <f t="shared" si="1"/>
        <v>Nestandardní situace</v>
      </c>
      <c r="I29" s="129" t="s">
        <v>260</v>
      </c>
      <c r="J29" s="129" t="s">
        <v>261</v>
      </c>
      <c r="K29" s="28" t="s">
        <v>262</v>
      </c>
      <c r="L29" s="28" t="s">
        <v>263</v>
      </c>
      <c r="M29" s="28" t="s">
        <v>264</v>
      </c>
      <c r="N29" s="28" t="s">
        <v>265</v>
      </c>
      <c r="O29" t="s">
        <v>266</v>
      </c>
      <c r="P29" s="127" t="s">
        <v>267</v>
      </c>
    </row>
    <row r="30" spans="5:16" x14ac:dyDescent="0.25">
      <c r="E30" t="str">
        <f t="shared" si="1"/>
        <v>Skladba panelů a design křídla je vždy řešen vůči FOH.</v>
      </c>
      <c r="I30" s="129" t="s">
        <v>268</v>
      </c>
      <c r="J30" s="129" t="s">
        <v>269</v>
      </c>
      <c r="K30" s="28" t="s">
        <v>270</v>
      </c>
      <c r="L30" s="28" t="s">
        <v>271</v>
      </c>
      <c r="M30" s="28" t="s">
        <v>272</v>
      </c>
      <c r="N30" s="28" t="s">
        <v>273</v>
      </c>
      <c r="O30" s="129" t="s">
        <v>269</v>
      </c>
      <c r="P30" s="129" t="s">
        <v>269</v>
      </c>
    </row>
    <row r="31" spans="5:16" x14ac:dyDescent="0.25">
      <c r="E31" t="str">
        <f t="shared" si="1"/>
        <v>Verze:</v>
      </c>
      <c r="I31" s="129" t="s">
        <v>274</v>
      </c>
      <c r="J31" s="129" t="s">
        <v>275</v>
      </c>
      <c r="K31" s="129" t="s">
        <v>275</v>
      </c>
      <c r="L31" s="129" t="s">
        <v>276</v>
      </c>
      <c r="M31" s="129" t="s">
        <v>277</v>
      </c>
      <c r="N31" s="28" t="s">
        <v>278</v>
      </c>
      <c r="O31" t="s">
        <v>279</v>
      </c>
      <c r="P31" s="127" t="s">
        <v>280</v>
      </c>
    </row>
    <row r="32" spans="5:16" x14ac:dyDescent="0.25">
      <c r="E32" t="str">
        <f t="shared" si="1"/>
        <v>Formát:</v>
      </c>
      <c r="I32" s="129" t="s">
        <v>281</v>
      </c>
      <c r="J32" s="129" t="s">
        <v>282</v>
      </c>
      <c r="K32" s="129" t="s">
        <v>283</v>
      </c>
      <c r="L32" s="129" t="s">
        <v>283</v>
      </c>
      <c r="M32" s="129" t="s">
        <v>284</v>
      </c>
      <c r="N32" s="28" t="s">
        <v>285</v>
      </c>
      <c r="O32" t="s">
        <v>286</v>
      </c>
      <c r="P32" s="127" t="s">
        <v>287</v>
      </c>
    </row>
    <row r="33" spans="5:16" x14ac:dyDescent="0.25">
      <c r="E33" t="str">
        <f t="shared" si="1"/>
        <v>Pozice zásuvky, cca. 250 mm</v>
      </c>
      <c r="I33" s="129" t="s">
        <v>288</v>
      </c>
      <c r="J33" s="129" t="s">
        <v>289</v>
      </c>
      <c r="K33" s="28" t="s">
        <v>290</v>
      </c>
      <c r="L33" s="28" t="s">
        <v>291</v>
      </c>
      <c r="M33" s="28" t="s">
        <v>292</v>
      </c>
      <c r="N33" s="28" t="s">
        <v>293</v>
      </c>
      <c r="O33" t="s">
        <v>294</v>
      </c>
      <c r="P33" s="127" t="s">
        <v>295</v>
      </c>
    </row>
    <row r="34" spans="5:16" x14ac:dyDescent="0.25">
      <c r="E34" t="str">
        <f t="shared" si="1"/>
        <v>Zásuvka typu CEE 7/3 nebo CEE 7/5</v>
      </c>
      <c r="I34" s="129" t="s">
        <v>296</v>
      </c>
      <c r="J34" s="129" t="s">
        <v>297</v>
      </c>
      <c r="K34" t="s">
        <v>298</v>
      </c>
      <c r="L34" t="s">
        <v>299</v>
      </c>
      <c r="M34" t="s">
        <v>300</v>
      </c>
      <c r="N34" s="28" t="s">
        <v>301</v>
      </c>
      <c r="O34" t="s">
        <v>302</v>
      </c>
      <c r="P34" s="127" t="s">
        <v>303</v>
      </c>
    </row>
    <row r="35" spans="5:16" x14ac:dyDescent="0.25">
      <c r="E35" t="str">
        <f t="shared" si="1"/>
        <v>230V, 50Hz, jištěno 6 A (10 A) jističem</v>
      </c>
      <c r="I35" s="129" t="s">
        <v>304</v>
      </c>
      <c r="J35" s="129" t="s">
        <v>305</v>
      </c>
      <c r="K35" t="s">
        <v>306</v>
      </c>
      <c r="L35" t="s">
        <v>307</v>
      </c>
      <c r="M35" t="s">
        <v>308</v>
      </c>
      <c r="N35" s="28" t="s">
        <v>309</v>
      </c>
      <c r="O35" t="s">
        <v>310</v>
      </c>
      <c r="P35" s="127" t="s">
        <v>311</v>
      </c>
    </row>
    <row r="36" spans="5:16" x14ac:dyDescent="0.25">
      <c r="E36" t="str">
        <f t="shared" si="1"/>
        <v>Šířka stavebního otvoru [mm]</v>
      </c>
      <c r="I36" s="129" t="s">
        <v>312</v>
      </c>
      <c r="J36" s="129" t="s">
        <v>313</v>
      </c>
      <c r="K36" s="129" t="s">
        <v>314</v>
      </c>
      <c r="L36" s="129" t="s">
        <v>315</v>
      </c>
      <c r="M36" s="129" t="s">
        <v>316</v>
      </c>
      <c r="N36" s="28" t="s">
        <v>317</v>
      </c>
      <c r="O36" t="s">
        <v>318</v>
      </c>
      <c r="P36" s="127" t="s">
        <v>319</v>
      </c>
    </row>
    <row r="37" spans="5:16" x14ac:dyDescent="0.25">
      <c r="E37" t="str">
        <f t="shared" si="1"/>
        <v>Šířka stavebního otvoru (W) [mm]</v>
      </c>
      <c r="I37" s="129" t="s">
        <v>320</v>
      </c>
      <c r="J37" s="129" t="s">
        <v>321</v>
      </c>
      <c r="K37" s="129" t="s">
        <v>322</v>
      </c>
      <c r="L37" s="129" t="s">
        <v>323</v>
      </c>
      <c r="M37" s="129" t="s">
        <v>324</v>
      </c>
      <c r="N37" s="28" t="s">
        <v>325</v>
      </c>
      <c r="O37" t="s">
        <v>326</v>
      </c>
      <c r="P37" s="127" t="s">
        <v>327</v>
      </c>
    </row>
    <row r="38" spans="5:16" x14ac:dyDescent="0.25">
      <c r="E38" t="str">
        <f t="shared" si="1"/>
        <v>Ovládání</v>
      </c>
      <c r="I38" s="129" t="s">
        <v>328</v>
      </c>
      <c r="J38" s="129" t="s">
        <v>329</v>
      </c>
      <c r="K38" s="129" t="s">
        <v>330</v>
      </c>
      <c r="L38" s="129" t="s">
        <v>331</v>
      </c>
      <c r="M38" s="129" t="s">
        <v>332</v>
      </c>
      <c r="N38" s="28" t="s">
        <v>333</v>
      </c>
      <c r="O38" s="129" t="s">
        <v>334</v>
      </c>
      <c r="P38" s="127" t="s">
        <v>335</v>
      </c>
    </row>
    <row r="39" spans="5:16" x14ac:dyDescent="0.25">
      <c r="E39" t="str">
        <f t="shared" si="1"/>
        <v>ručně</v>
      </c>
      <c r="I39" s="129" t="s">
        <v>336</v>
      </c>
      <c r="J39" s="129" t="s">
        <v>337</v>
      </c>
      <c r="K39" s="129" t="s">
        <v>338</v>
      </c>
      <c r="L39" s="129" t="s">
        <v>339</v>
      </c>
      <c r="M39" s="129" t="s">
        <v>340</v>
      </c>
      <c r="N39" s="28" t="s">
        <v>341</v>
      </c>
      <c r="O39" s="129" t="s">
        <v>342</v>
      </c>
      <c r="P39" s="127" t="s">
        <v>83</v>
      </c>
    </row>
    <row r="40" spans="5:16" x14ac:dyDescent="0.25">
      <c r="E40" t="str">
        <f t="shared" si="1"/>
        <v>elektricky</v>
      </c>
      <c r="I40" s="129" t="s">
        <v>343</v>
      </c>
      <c r="J40" s="129" t="s">
        <v>344</v>
      </c>
      <c r="K40" s="129" t="s">
        <v>345</v>
      </c>
      <c r="L40" s="129" t="s">
        <v>346</v>
      </c>
      <c r="M40" s="129" t="s">
        <v>347</v>
      </c>
      <c r="N40" s="28" t="s">
        <v>345</v>
      </c>
      <c r="O40" s="129" t="s">
        <v>348</v>
      </c>
      <c r="P40" s="127" t="s">
        <v>91</v>
      </c>
    </row>
    <row r="41" spans="5:16" x14ac:dyDescent="0.25">
      <c r="E41" t="str">
        <f t="shared" si="1"/>
        <v>Výška nádpraží [mm]</v>
      </c>
      <c r="I41" s="129" t="s">
        <v>349</v>
      </c>
      <c r="J41" s="129" t="s">
        <v>350</v>
      </c>
      <c r="K41" s="129" t="s">
        <v>351</v>
      </c>
      <c r="L41" s="129" t="s">
        <v>352</v>
      </c>
      <c r="M41" s="129" t="s">
        <v>353</v>
      </c>
      <c r="N41" s="28" t="s">
        <v>354</v>
      </c>
      <c r="O41" s="129" t="s">
        <v>355</v>
      </c>
      <c r="P41" s="127" t="s">
        <v>356</v>
      </c>
    </row>
    <row r="42" spans="5:16" x14ac:dyDescent="0.25">
      <c r="E42" t="str">
        <f t="shared" si="1"/>
        <v>Výška nádpraží (F) [mm]</v>
      </c>
      <c r="I42" s="129" t="s">
        <v>357</v>
      </c>
      <c r="J42" s="129" t="s">
        <v>358</v>
      </c>
      <c r="K42" s="129" t="s">
        <v>359</v>
      </c>
      <c r="L42" s="129" t="s">
        <v>360</v>
      </c>
      <c r="M42" s="129" t="s">
        <v>361</v>
      </c>
      <c r="N42" s="28" t="s">
        <v>362</v>
      </c>
      <c r="O42" t="s">
        <v>363</v>
      </c>
      <c r="P42" s="127" t="s">
        <v>364</v>
      </c>
    </row>
    <row r="43" spans="5:16" x14ac:dyDescent="0.25">
      <c r="E43" t="str">
        <f t="shared" ref="C43:I61" si="2">VLOOKUP($I43,$I:$T,E$2,FALSE)</f>
        <v>Typ pohonu</v>
      </c>
      <c r="I43" s="129" t="s">
        <v>365</v>
      </c>
      <c r="J43" s="129" t="s">
        <v>366</v>
      </c>
      <c r="K43" s="129" t="s">
        <v>367</v>
      </c>
      <c r="L43" s="129" t="s">
        <v>368</v>
      </c>
      <c r="M43" s="129" t="s">
        <v>369</v>
      </c>
      <c r="N43" s="28" t="s">
        <v>370</v>
      </c>
      <c r="O43" s="129" t="s">
        <v>371</v>
      </c>
      <c r="P43" s="127" t="s">
        <v>372</v>
      </c>
    </row>
    <row r="44" spans="5:16" x14ac:dyDescent="0.25">
      <c r="E44" t="str">
        <f t="shared" si="2"/>
        <v>Informace o motoru</v>
      </c>
      <c r="I44" s="129" t="s">
        <v>373</v>
      </c>
      <c r="J44" s="129" t="s">
        <v>374</v>
      </c>
      <c r="K44" s="129" t="s">
        <v>375</v>
      </c>
      <c r="L44" s="129" t="s">
        <v>376</v>
      </c>
      <c r="M44" s="129" t="s">
        <v>377</v>
      </c>
      <c r="N44" s="28" t="s">
        <v>378</v>
      </c>
      <c r="O44" s="129" t="s">
        <v>379</v>
      </c>
      <c r="P44" s="127" t="s">
        <v>380</v>
      </c>
    </row>
    <row r="45" spans="5:16" x14ac:dyDescent="0.25">
      <c r="E45" t="str">
        <f t="shared" si="2"/>
        <v>Umístění horního těsnění</v>
      </c>
      <c r="I45" s="129" t="s">
        <v>381</v>
      </c>
      <c r="J45" s="129" t="s">
        <v>382</v>
      </c>
      <c r="K45" s="129" t="s">
        <v>383</v>
      </c>
      <c r="L45" s="129" t="s">
        <v>384</v>
      </c>
      <c r="M45" s="129" t="s">
        <v>385</v>
      </c>
      <c r="N45" s="28" t="s">
        <v>386</v>
      </c>
      <c r="O45" s="129" t="s">
        <v>387</v>
      </c>
      <c r="P45" s="127" t="s">
        <v>388</v>
      </c>
    </row>
    <row r="46" spans="5:16" x14ac:dyDescent="0.25">
      <c r="E46" t="str">
        <f t="shared" si="2"/>
        <v>na překladu</v>
      </c>
      <c r="I46" s="129" t="s">
        <v>389</v>
      </c>
      <c r="J46" s="129" t="s">
        <v>390</v>
      </c>
      <c r="K46" s="129" t="s">
        <v>391</v>
      </c>
      <c r="L46" s="129" t="s">
        <v>392</v>
      </c>
      <c r="M46" s="129" t="s">
        <v>393</v>
      </c>
      <c r="N46" s="28" t="s">
        <v>394</v>
      </c>
      <c r="O46" s="129" t="s">
        <v>395</v>
      </c>
      <c r="P46" s="127" t="s">
        <v>396</v>
      </c>
    </row>
    <row r="47" spans="5:16" x14ac:dyDescent="0.25">
      <c r="E47" t="str">
        <f t="shared" si="2"/>
        <v>na horní sekci</v>
      </c>
      <c r="I47" s="129" t="s">
        <v>397</v>
      </c>
      <c r="J47" s="129" t="s">
        <v>398</v>
      </c>
      <c r="K47" s="129" t="s">
        <v>399</v>
      </c>
      <c r="L47" s="129" t="s">
        <v>400</v>
      </c>
      <c r="M47" s="129" t="s">
        <v>401</v>
      </c>
      <c r="N47" s="28" t="s">
        <v>402</v>
      </c>
      <c r="O47" s="129" t="s">
        <v>403</v>
      </c>
      <c r="P47" s="127" t="s">
        <v>404</v>
      </c>
    </row>
    <row r="48" spans="5:16" x14ac:dyDescent="0.25">
      <c r="E48" t="str">
        <f t="shared" si="2"/>
        <v>Verze SL vedení</v>
      </c>
      <c r="I48" s="129" t="s">
        <v>405</v>
      </c>
      <c r="J48" s="129" t="s">
        <v>406</v>
      </c>
      <c r="K48" s="129" t="s">
        <v>407</v>
      </c>
      <c r="L48" t="s">
        <v>408</v>
      </c>
      <c r="M48" t="s">
        <v>409</v>
      </c>
      <c r="N48" s="28" t="s">
        <v>410</v>
      </c>
      <c r="O48" s="129" t="s">
        <v>411</v>
      </c>
      <c r="P48" s="127" t="s">
        <v>412</v>
      </c>
    </row>
    <row r="49" spans="5:31" x14ac:dyDescent="0.25">
      <c r="E49" t="str">
        <f t="shared" si="2"/>
        <v>= sety bez předvrtaných otvorů ve svislém úhelníku; svislý úhelník v bílém provedení (RAL 9010)</v>
      </c>
      <c r="I49" s="130" t="s">
        <v>413</v>
      </c>
      <c r="J49" s="130" t="s">
        <v>414</v>
      </c>
      <c r="K49" s="130" t="s">
        <v>415</v>
      </c>
      <c r="L49" s="130" t="s">
        <v>416</v>
      </c>
      <c r="M49" s="130" t="s">
        <v>417</v>
      </c>
      <c r="N49" s="131" t="s">
        <v>418</v>
      </c>
      <c r="O49" s="130" t="s">
        <v>414</v>
      </c>
      <c r="P49" s="130" t="s">
        <v>414</v>
      </c>
    </row>
    <row r="50" spans="5:31" x14ac:dyDescent="0.25">
      <c r="E50" t="str">
        <f t="shared" si="2"/>
        <v>průjezdná výška může být snížena příslušenstvím nainstalovaným na vnitřní straně vratového křídla (madlo, výztuha apod.)</v>
      </c>
      <c r="I50" s="129" t="s">
        <v>419</v>
      </c>
      <c r="J50" s="129" t="s">
        <v>420</v>
      </c>
      <c r="K50" s="129" t="s">
        <v>421</v>
      </c>
      <c r="L50" s="129" t="s">
        <v>422</v>
      </c>
      <c r="M50" s="129" t="s">
        <v>423</v>
      </c>
      <c r="N50" s="28" t="s">
        <v>424</v>
      </c>
      <c r="O50" s="129" t="s">
        <v>425</v>
      </c>
      <c r="P50" s="127" t="s">
        <v>426</v>
      </c>
    </row>
    <row r="51" spans="5:31" x14ac:dyDescent="0.25">
      <c r="E51" t="str">
        <f t="shared" si="2"/>
        <v>při použití zarážky vratového křídla</v>
      </c>
      <c r="I51" s="129" t="s">
        <v>427</v>
      </c>
      <c r="J51" s="129" t="s">
        <v>428</v>
      </c>
      <c r="K51" s="129" t="s">
        <v>429</v>
      </c>
      <c r="L51" s="129" t="s">
        <v>430</v>
      </c>
      <c r="M51" s="129" t="s">
        <v>431</v>
      </c>
      <c r="N51" t="s">
        <v>432</v>
      </c>
      <c r="O51" s="129" t="s">
        <v>433</v>
      </c>
      <c r="P51" s="127" t="s">
        <v>434</v>
      </c>
    </row>
    <row r="52" spans="5:31" x14ac:dyDescent="0.25">
      <c r="E52" t="str">
        <f t="shared" si="2"/>
        <v>Minimální únosnost stropu/maximální zatížení v každém kotevním bodě: 100 kg</v>
      </c>
      <c r="I52" s="129" t="s">
        <v>435</v>
      </c>
      <c r="J52" s="129" t="s">
        <v>436</v>
      </c>
      <c r="K52" s="129" t="s">
        <v>437</v>
      </c>
      <c r="L52" s="129" t="s">
        <v>438</v>
      </c>
      <c r="M52" s="129" t="s">
        <v>439</v>
      </c>
      <c r="N52" s="28" t="s">
        <v>440</v>
      </c>
      <c r="O52" s="129" t="s">
        <v>441</v>
      </c>
      <c r="P52" s="127" t="s">
        <v>442</v>
      </c>
    </row>
    <row r="53" spans="5:31" x14ac:dyDescent="0.25">
      <c r="E53" t="str">
        <f t="shared" si="2"/>
        <v>Typ lišty pohonu</v>
      </c>
      <c r="I53" s="129" t="s">
        <v>443</v>
      </c>
      <c r="J53" s="129" t="s">
        <v>444</v>
      </c>
      <c r="K53" s="129" t="s">
        <v>445</v>
      </c>
      <c r="L53" t="s">
        <v>446</v>
      </c>
      <c r="M53" s="129" t="s">
        <v>447</v>
      </c>
      <c r="N53" s="28" t="s">
        <v>448</v>
      </c>
      <c r="O53" s="129" t="s">
        <v>449</v>
      </c>
      <c r="P53" s="127" t="s">
        <v>450</v>
      </c>
    </row>
    <row r="54" spans="5:31" x14ac:dyDescent="0.25">
      <c r="E54" t="str">
        <f t="shared" si="2"/>
        <v>Lišta pohonu příliš krátká</v>
      </c>
      <c r="I54" s="129" t="s">
        <v>451</v>
      </c>
      <c r="J54" s="129" t="s">
        <v>452</v>
      </c>
      <c r="K54" s="129" t="s">
        <v>453</v>
      </c>
      <c r="L54" s="129" t="s">
        <v>454</v>
      </c>
      <c r="M54" s="129" t="s">
        <v>455</v>
      </c>
      <c r="N54" s="28" t="s">
        <v>456</v>
      </c>
      <c r="O54" s="129" t="s">
        <v>457</v>
      </c>
      <c r="P54" s="127" t="s">
        <v>458</v>
      </c>
    </row>
    <row r="63" spans="5:31" ht="15.75" thickBot="1" x14ac:dyDescent="0.3"/>
    <row r="64" spans="5:31" x14ac:dyDescent="0.25">
      <c r="Z64" s="2"/>
      <c r="AA64" s="3"/>
      <c r="AB64" s="3"/>
      <c r="AC64" s="3"/>
      <c r="AD64" s="3"/>
      <c r="AE64" s="4"/>
    </row>
    <row r="65" spans="26:31" x14ac:dyDescent="0.25">
      <c r="Z65" s="9"/>
      <c r="AE65" s="10"/>
    </row>
    <row r="66" spans="26:31" x14ac:dyDescent="0.25">
      <c r="Z66" s="9"/>
      <c r="AE66" s="10"/>
    </row>
    <row r="67" spans="26:31" x14ac:dyDescent="0.25">
      <c r="Z67" s="9"/>
      <c r="AE67" s="10"/>
    </row>
    <row r="68" spans="26:31" x14ac:dyDescent="0.25">
      <c r="Z68" s="9"/>
      <c r="AE68" s="10"/>
    </row>
    <row r="69" spans="26:31" ht="15.75" thickBot="1" x14ac:dyDescent="0.3">
      <c r="Z69" s="19"/>
      <c r="AA69" s="20"/>
      <c r="AB69" s="20"/>
      <c r="AC69" s="20"/>
      <c r="AD69" s="20"/>
      <c r="AE69" s="21"/>
    </row>
  </sheetData>
  <sheetProtection algorithmName="SHA-512" hashValue="rddFPsZQrxZgmYImWsx/zXJEA2Fy4CY+EYzghAXxb8MIek5cn0tKyeH6DxNtR+Y9b9c6KDadDgCLQQiyedVYVQ==" saltValue="cPth8Mi/4Vxdhd9Uz1IZqg==" spinCount="100000" sheet="1" objects="1" scenarios="1" selectLockedCell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EB26A-9CA1-4708-BCC8-A31583302DB3}">
  <sheetPr codeName="List3"/>
  <dimension ref="A1:AA99"/>
  <sheetViews>
    <sheetView topLeftCell="A11" workbookViewId="0">
      <selection activeCell="H59" sqref="H59"/>
    </sheetView>
  </sheetViews>
  <sheetFormatPr defaultRowHeight="15" x14ac:dyDescent="0.25"/>
  <cols>
    <col min="1" max="1" width="10" bestFit="1" customWidth="1"/>
    <col min="3" max="3" width="11.7109375" customWidth="1"/>
    <col min="4" max="4" width="11.5703125" customWidth="1"/>
    <col min="5" max="5" width="9.85546875" bestFit="1" customWidth="1"/>
    <col min="7" max="7" width="9.85546875" bestFit="1" customWidth="1"/>
    <col min="8" max="8" width="11.28515625" bestFit="1" customWidth="1"/>
    <col min="9" max="9" width="11.140625" customWidth="1"/>
    <col min="11" max="11" width="9.85546875" bestFit="1" customWidth="1"/>
    <col min="13" max="13" width="9.85546875" bestFit="1" customWidth="1"/>
    <col min="15" max="15" width="9.85546875" bestFit="1" customWidth="1"/>
    <col min="17" max="17" width="9.85546875" bestFit="1" customWidth="1"/>
  </cols>
  <sheetData>
    <row r="1" spans="1:18" x14ac:dyDescent="0.25">
      <c r="A1" t="s">
        <v>459</v>
      </c>
      <c r="C1" s="132" t="s">
        <v>41</v>
      </c>
    </row>
    <row r="2" spans="1:18" x14ac:dyDescent="0.25">
      <c r="A2" t="s">
        <v>3</v>
      </c>
      <c r="B2">
        <v>1</v>
      </c>
    </row>
    <row r="3" spans="1:18" x14ac:dyDescent="0.25">
      <c r="A3" t="s">
        <v>45</v>
      </c>
      <c r="B3">
        <v>2</v>
      </c>
      <c r="C3" s="133">
        <f>Translation!C38</f>
        <v>0</v>
      </c>
      <c r="E3" s="134" t="s">
        <v>460</v>
      </c>
      <c r="F3" s="135"/>
      <c r="I3" s="133">
        <f>Translation!C43</f>
        <v>0</v>
      </c>
      <c r="K3" s="134" t="s">
        <v>461</v>
      </c>
      <c r="L3" s="135"/>
      <c r="N3" s="134" t="s">
        <v>462</v>
      </c>
      <c r="O3" s="135"/>
      <c r="Q3" s="134" t="s">
        <v>463</v>
      </c>
      <c r="R3" s="135"/>
    </row>
    <row r="4" spans="1:18" x14ac:dyDescent="0.25">
      <c r="A4" t="s">
        <v>46</v>
      </c>
      <c r="B4">
        <v>3</v>
      </c>
      <c r="C4" s="136"/>
      <c r="E4" s="136"/>
      <c r="F4" s="136"/>
      <c r="I4" s="136"/>
    </row>
    <row r="5" spans="1:18" x14ac:dyDescent="0.25">
      <c r="A5" t="s">
        <v>47</v>
      </c>
      <c r="B5">
        <v>4</v>
      </c>
      <c r="C5" s="136">
        <f>Translation!C39</f>
        <v>0</v>
      </c>
      <c r="E5" s="136">
        <v>0</v>
      </c>
      <c r="F5" s="136">
        <f>2575</f>
        <v>2575</v>
      </c>
      <c r="I5" s="136" t="s">
        <v>33</v>
      </c>
      <c r="K5" s="137" t="str">
        <f>I5</f>
        <v>Black</v>
      </c>
      <c r="L5" s="138"/>
      <c r="N5" s="137" t="str">
        <f>I5</f>
        <v>Black</v>
      </c>
      <c r="O5" s="138"/>
      <c r="Q5" s="137" t="str">
        <f>I5</f>
        <v>Black</v>
      </c>
      <c r="R5" s="138"/>
    </row>
    <row r="6" spans="1:18" x14ac:dyDescent="0.25">
      <c r="A6" t="s">
        <v>48</v>
      </c>
      <c r="B6">
        <v>5</v>
      </c>
      <c r="C6" s="136">
        <f>Translation!C40</f>
        <v>0</v>
      </c>
      <c r="E6" s="136">
        <v>2001</v>
      </c>
      <c r="F6" s="136">
        <v>2700</v>
      </c>
      <c r="I6" s="136" t="s">
        <v>34</v>
      </c>
      <c r="K6" s="136">
        <v>0</v>
      </c>
      <c r="L6" s="136">
        <v>3540</v>
      </c>
      <c r="N6" s="136">
        <v>0</v>
      </c>
      <c r="O6" s="136">
        <v>3265</v>
      </c>
      <c r="Q6" s="136">
        <v>0</v>
      </c>
      <c r="R6" s="136">
        <v>1400</v>
      </c>
    </row>
    <row r="7" spans="1:18" x14ac:dyDescent="0.25">
      <c r="A7" t="s">
        <v>49</v>
      </c>
      <c r="B7">
        <v>6</v>
      </c>
      <c r="E7" s="136">
        <v>2126</v>
      </c>
      <c r="F7" s="136">
        <v>2825</v>
      </c>
      <c r="I7" s="136" t="s">
        <v>35</v>
      </c>
      <c r="K7" s="136">
        <v>2376</v>
      </c>
      <c r="L7" s="136">
        <v>4240</v>
      </c>
      <c r="N7" s="136">
        <v>2376</v>
      </c>
      <c r="O7" s="136">
        <v>3975</v>
      </c>
      <c r="Q7" s="136">
        <v>3001</v>
      </c>
      <c r="R7" s="136"/>
    </row>
    <row r="8" spans="1:18" x14ac:dyDescent="0.25">
      <c r="A8" t="s">
        <v>50</v>
      </c>
      <c r="B8">
        <v>7</v>
      </c>
      <c r="E8" s="136">
        <v>2251</v>
      </c>
      <c r="F8" s="136">
        <v>2950</v>
      </c>
    </row>
    <row r="9" spans="1:18" x14ac:dyDescent="0.25">
      <c r="A9" t="s">
        <v>51</v>
      </c>
      <c r="B9">
        <v>8</v>
      </c>
      <c r="E9" s="136">
        <v>2376</v>
      </c>
      <c r="F9" s="136">
        <v>3075</v>
      </c>
      <c r="K9" s="137" t="str">
        <f>I6</f>
        <v>RUN 600</v>
      </c>
      <c r="L9" s="138"/>
      <c r="N9" s="137" t="str">
        <f>I6</f>
        <v>RUN 600</v>
      </c>
      <c r="O9" s="138"/>
      <c r="Q9" s="137" t="str">
        <f>I6</f>
        <v>RUN 600</v>
      </c>
      <c r="R9" s="138"/>
    </row>
    <row r="10" spans="1:18" x14ac:dyDescent="0.25">
      <c r="B10">
        <v>9</v>
      </c>
      <c r="E10" s="136">
        <v>2501</v>
      </c>
      <c r="F10" s="136">
        <v>3325</v>
      </c>
      <c r="K10" s="136">
        <v>0</v>
      </c>
      <c r="L10" s="136">
        <v>3100</v>
      </c>
      <c r="N10" s="136">
        <v>0</v>
      </c>
      <c r="O10" s="136">
        <v>2950</v>
      </c>
      <c r="Q10" s="136">
        <v>0</v>
      </c>
      <c r="R10" s="136">
        <v>1400</v>
      </c>
    </row>
    <row r="11" spans="1:18" x14ac:dyDescent="0.25">
      <c r="B11">
        <v>10</v>
      </c>
      <c r="E11" s="136">
        <v>2751</v>
      </c>
      <c r="F11" s="136">
        <v>3575</v>
      </c>
      <c r="K11" s="136">
        <v>2126</v>
      </c>
      <c r="L11" s="136">
        <v>4240</v>
      </c>
      <c r="N11" s="136">
        <v>2126</v>
      </c>
      <c r="O11" s="136">
        <v>4060</v>
      </c>
      <c r="Q11" s="136">
        <v>3001</v>
      </c>
      <c r="R11" s="136">
        <v>0</v>
      </c>
    </row>
    <row r="12" spans="1:18" x14ac:dyDescent="0.25">
      <c r="B12">
        <v>11</v>
      </c>
    </row>
    <row r="13" spans="1:18" x14ac:dyDescent="0.25">
      <c r="K13" s="137" t="str">
        <f>I7</f>
        <v>Cube</v>
      </c>
      <c r="L13" s="138"/>
      <c r="N13" s="137" t="str">
        <f>I7</f>
        <v>Cube</v>
      </c>
      <c r="O13" s="138"/>
      <c r="Q13" s="137" t="str">
        <f>I7</f>
        <v>Cube</v>
      </c>
      <c r="R13" s="138"/>
    </row>
    <row r="14" spans="1:18" x14ac:dyDescent="0.25">
      <c r="K14" s="136">
        <v>0</v>
      </c>
      <c r="L14" s="136">
        <v>3680</v>
      </c>
      <c r="N14" s="136">
        <v>0</v>
      </c>
      <c r="O14" s="136">
        <v>3480</v>
      </c>
      <c r="Q14" s="136">
        <v>0</v>
      </c>
      <c r="R14" s="136">
        <v>1800</v>
      </c>
    </row>
    <row r="15" spans="1:18" x14ac:dyDescent="0.25">
      <c r="A15" t="s">
        <v>464</v>
      </c>
      <c r="K15" s="136">
        <v>2501</v>
      </c>
      <c r="L15" s="136">
        <v>4160</v>
      </c>
      <c r="N15" s="136">
        <v>2501</v>
      </c>
      <c r="O15" s="136">
        <v>3960</v>
      </c>
      <c r="Q15" s="136">
        <v>2501</v>
      </c>
      <c r="R15" s="136">
        <v>2050</v>
      </c>
    </row>
    <row r="16" spans="1:18" x14ac:dyDescent="0.25">
      <c r="A16" t="s">
        <v>465</v>
      </c>
    </row>
    <row r="17" spans="1:15" x14ac:dyDescent="0.25">
      <c r="A17" t="s">
        <v>466</v>
      </c>
    </row>
    <row r="18" spans="1:15" x14ac:dyDescent="0.25">
      <c r="C18" s="132" t="s">
        <v>42</v>
      </c>
    </row>
    <row r="20" spans="1:15" x14ac:dyDescent="0.25">
      <c r="C20" s="133">
        <f>Translation!D38</f>
        <v>0</v>
      </c>
      <c r="E20" s="134" t="s">
        <v>460</v>
      </c>
      <c r="F20" s="135"/>
      <c r="I20" s="133">
        <f>Translation!D43</f>
        <v>0</v>
      </c>
      <c r="K20" s="134" t="s">
        <v>461</v>
      </c>
      <c r="L20" s="135"/>
      <c r="N20" s="134" t="s">
        <v>462</v>
      </c>
      <c r="O20" s="135"/>
    </row>
    <row r="21" spans="1:15" x14ac:dyDescent="0.25">
      <c r="C21" s="136"/>
      <c r="E21" s="136"/>
      <c r="F21" s="136"/>
      <c r="I21" s="136"/>
    </row>
    <row r="22" spans="1:15" x14ac:dyDescent="0.25">
      <c r="C22" s="136">
        <f>Translation!D39</f>
        <v>0</v>
      </c>
      <c r="E22" s="136">
        <v>0</v>
      </c>
      <c r="F22" s="136">
        <f>2575</f>
        <v>2575</v>
      </c>
      <c r="I22" s="136" t="s">
        <v>467</v>
      </c>
      <c r="K22" s="137" t="str">
        <f>I22</f>
        <v>D600</v>
      </c>
      <c r="L22" s="138"/>
      <c r="N22" s="137" t="str">
        <f>I22</f>
        <v>D600</v>
      </c>
      <c r="O22" s="138"/>
    </row>
    <row r="23" spans="1:15" x14ac:dyDescent="0.25">
      <c r="C23" s="136">
        <f>Translation!D40</f>
        <v>0</v>
      </c>
      <c r="E23" s="136">
        <v>2001</v>
      </c>
      <c r="F23" s="136">
        <v>2700</v>
      </c>
      <c r="I23" s="136" t="s">
        <v>468</v>
      </c>
      <c r="K23" s="136" t="str">
        <f>N23</f>
        <v>F390119</v>
      </c>
      <c r="L23" s="136">
        <f>O23+(360/2)</f>
        <v>2795</v>
      </c>
      <c r="N23" s="136" t="str">
        <f>I27</f>
        <v>F390119</v>
      </c>
      <c r="O23" s="136">
        <v>2615</v>
      </c>
    </row>
    <row r="24" spans="1:15" x14ac:dyDescent="0.25">
      <c r="E24" s="136">
        <v>2126</v>
      </c>
      <c r="F24" s="136">
        <v>2825</v>
      </c>
      <c r="K24" s="136" t="str">
        <f t="shared" ref="K24:K26" si="0">N24</f>
        <v>F390126</v>
      </c>
      <c r="L24" s="136">
        <f>O24+(360/2)</f>
        <v>3362</v>
      </c>
      <c r="N24" s="136" t="str">
        <f t="shared" ref="N24:N26" si="1">I28</f>
        <v>F390126</v>
      </c>
      <c r="O24" s="136">
        <v>3182</v>
      </c>
    </row>
    <row r="25" spans="1:15" x14ac:dyDescent="0.25">
      <c r="E25" s="136">
        <v>2251</v>
      </c>
      <c r="F25" s="136">
        <v>2950</v>
      </c>
      <c r="I25" s="133">
        <f>Translation!D53</f>
        <v>0</v>
      </c>
      <c r="K25" s="136" t="str">
        <f t="shared" si="0"/>
        <v>F390132</v>
      </c>
      <c r="L25" s="136">
        <f>O25+(360/2)</f>
        <v>3945</v>
      </c>
      <c r="N25" s="136" t="str">
        <f t="shared" si="1"/>
        <v>F390132</v>
      </c>
      <c r="O25" s="136">
        <v>3765</v>
      </c>
    </row>
    <row r="26" spans="1:15" x14ac:dyDescent="0.25">
      <c r="E26" s="136">
        <v>2376</v>
      </c>
      <c r="F26" s="136">
        <v>3075</v>
      </c>
      <c r="I26" s="139" t="s">
        <v>469</v>
      </c>
      <c r="K26" s="136" t="str">
        <f t="shared" si="0"/>
        <v>F390139</v>
      </c>
      <c r="L26" s="136">
        <f>O26+(360/2)</f>
        <v>4545</v>
      </c>
      <c r="N26" s="136" t="str">
        <f t="shared" si="1"/>
        <v>F390139</v>
      </c>
      <c r="O26" s="136">
        <v>4365</v>
      </c>
    </row>
    <row r="27" spans="1:15" x14ac:dyDescent="0.25">
      <c r="E27" s="136">
        <v>2501</v>
      </c>
      <c r="F27" s="136">
        <v>3325</v>
      </c>
      <c r="H27" s="136">
        <v>0</v>
      </c>
      <c r="I27" s="136" t="s">
        <v>470</v>
      </c>
    </row>
    <row r="28" spans="1:15" x14ac:dyDescent="0.25">
      <c r="E28" s="136">
        <v>2751</v>
      </c>
      <c r="F28" s="136">
        <v>3575</v>
      </c>
      <c r="H28" s="136">
        <v>2001</v>
      </c>
      <c r="I28" s="136" t="s">
        <v>471</v>
      </c>
      <c r="K28" s="137" t="str">
        <f>I23</f>
        <v>D1000</v>
      </c>
      <c r="L28" s="138"/>
      <c r="N28" s="137" t="str">
        <f>I23</f>
        <v>D1000</v>
      </c>
      <c r="O28" s="138"/>
    </row>
    <row r="29" spans="1:15" x14ac:dyDescent="0.25">
      <c r="H29" s="136">
        <v>2401</v>
      </c>
      <c r="I29" s="136" t="s">
        <v>472</v>
      </c>
      <c r="K29" s="136" t="str">
        <f>N29</f>
        <v>F390119</v>
      </c>
      <c r="L29" s="136">
        <f>O29+(360/2)</f>
        <v>2795</v>
      </c>
      <c r="N29" s="136" t="str">
        <f>I27</f>
        <v>F390119</v>
      </c>
      <c r="O29" s="136">
        <v>2615</v>
      </c>
    </row>
    <row r="30" spans="1:15" x14ac:dyDescent="0.25">
      <c r="H30" s="136">
        <v>3001</v>
      </c>
      <c r="I30" s="136" t="s">
        <v>473</v>
      </c>
      <c r="K30" s="136" t="str">
        <f t="shared" ref="K30:K32" si="2">N30</f>
        <v>F390126</v>
      </c>
      <c r="L30" s="136">
        <f>O30+(360/2)</f>
        <v>3362</v>
      </c>
      <c r="N30" s="136" t="str">
        <f t="shared" ref="N30:N32" si="3">I28</f>
        <v>F390126</v>
      </c>
      <c r="O30" s="136">
        <v>3182</v>
      </c>
    </row>
    <row r="31" spans="1:15" x14ac:dyDescent="0.25">
      <c r="K31" s="136" t="str">
        <f t="shared" si="2"/>
        <v>F390132</v>
      </c>
      <c r="L31" s="136">
        <f>O31+(360/2)</f>
        <v>3945</v>
      </c>
      <c r="N31" s="136" t="str">
        <f t="shared" si="3"/>
        <v>F390132</v>
      </c>
      <c r="O31" s="136">
        <v>3765</v>
      </c>
    </row>
    <row r="32" spans="1:15" x14ac:dyDescent="0.25">
      <c r="K32" s="136" t="str">
        <f t="shared" si="2"/>
        <v>F390139</v>
      </c>
      <c r="L32" s="136">
        <f>O32+(360/2)</f>
        <v>4545</v>
      </c>
      <c r="N32" s="136" t="str">
        <f t="shared" si="3"/>
        <v>F390139</v>
      </c>
      <c r="O32" s="136">
        <v>4365</v>
      </c>
    </row>
    <row r="34" spans="3:18" x14ac:dyDescent="0.25">
      <c r="C34" s="132" t="s">
        <v>43</v>
      </c>
    </row>
    <row r="36" spans="3:18" x14ac:dyDescent="0.25">
      <c r="C36" s="133" t="str">
        <f>Translation!E38</f>
        <v>Ovládání</v>
      </c>
      <c r="E36" s="134" t="s">
        <v>460</v>
      </c>
      <c r="F36" s="135"/>
      <c r="I36" s="133" t="str">
        <f>Translation!E43</f>
        <v>Typ pohonu</v>
      </c>
      <c r="K36" s="134" t="s">
        <v>461</v>
      </c>
      <c r="L36" s="135"/>
      <c r="N36" s="134" t="s">
        <v>462</v>
      </c>
      <c r="O36" s="135"/>
      <c r="Q36" s="134" t="s">
        <v>463</v>
      </c>
      <c r="R36" s="135"/>
    </row>
    <row r="37" spans="3:18" x14ac:dyDescent="0.25">
      <c r="C37" s="136"/>
      <c r="E37" s="136"/>
      <c r="F37" s="136"/>
      <c r="I37" s="136"/>
    </row>
    <row r="38" spans="3:18" x14ac:dyDescent="0.25">
      <c r="C38" s="136" t="str">
        <f>Translation!E39</f>
        <v>ručně</v>
      </c>
      <c r="E38" s="136">
        <v>0</v>
      </c>
      <c r="F38" s="136">
        <f>2575+120</f>
        <v>2695</v>
      </c>
      <c r="I38" s="136" t="s">
        <v>33</v>
      </c>
      <c r="K38" s="137" t="str">
        <f>I38</f>
        <v>Black</v>
      </c>
      <c r="L38" s="138"/>
      <c r="N38" s="137" t="str">
        <f>I38</f>
        <v>Black</v>
      </c>
      <c r="O38" s="138"/>
      <c r="Q38" s="137" t="str">
        <f>I38</f>
        <v>Black</v>
      </c>
      <c r="R38" s="138"/>
    </row>
    <row r="39" spans="3:18" x14ac:dyDescent="0.25">
      <c r="C39" s="136" t="str">
        <f>Translation!E40</f>
        <v>elektricky</v>
      </c>
      <c r="E39" s="136">
        <v>2001</v>
      </c>
      <c r="F39" s="136">
        <f>2700+120</f>
        <v>2820</v>
      </c>
      <c r="I39" s="136" t="s">
        <v>34</v>
      </c>
      <c r="K39" s="136">
        <v>0</v>
      </c>
      <c r="L39" s="136">
        <v>3540</v>
      </c>
      <c r="N39" s="136">
        <v>0</v>
      </c>
      <c r="O39" s="136">
        <v>3265</v>
      </c>
      <c r="Q39" s="136">
        <v>0</v>
      </c>
      <c r="R39" s="136">
        <v>1400</v>
      </c>
    </row>
    <row r="40" spans="3:18" x14ac:dyDescent="0.25">
      <c r="E40" s="136">
        <v>2126</v>
      </c>
      <c r="F40" s="136">
        <f>2825+120</f>
        <v>2945</v>
      </c>
      <c r="I40" s="136" t="s">
        <v>35</v>
      </c>
      <c r="K40" s="136">
        <v>2376</v>
      </c>
      <c r="L40" s="136">
        <v>4240</v>
      </c>
      <c r="N40" s="136">
        <v>2376</v>
      </c>
      <c r="O40" s="136">
        <v>3975</v>
      </c>
      <c r="Q40" s="136">
        <v>3001</v>
      </c>
      <c r="R40" s="136"/>
    </row>
    <row r="41" spans="3:18" x14ac:dyDescent="0.25">
      <c r="C41" s="133" t="s">
        <v>381</v>
      </c>
      <c r="E41" s="136">
        <v>2251</v>
      </c>
      <c r="F41" s="136">
        <f>2950+120</f>
        <v>3070</v>
      </c>
      <c r="I41" t="str">
        <f>Translation!E42</f>
        <v>Výška nádpraží (F) [mm]</v>
      </c>
    </row>
    <row r="42" spans="3:18" x14ac:dyDescent="0.25">
      <c r="C42" s="136"/>
      <c r="E42" s="136">
        <v>2376</v>
      </c>
      <c r="F42" s="136">
        <f>3075+120</f>
        <v>3195</v>
      </c>
      <c r="H42">
        <f>'LHR-C'!J6</f>
        <v>0</v>
      </c>
      <c r="I42" t="str">
        <f>IF(H42=Selections!C38,90,IF(H42=Selections!C39,125,"Error"))</f>
        <v>Error</v>
      </c>
      <c r="K42" s="137" t="str">
        <f>I39</f>
        <v>RUN 600</v>
      </c>
      <c r="L42" s="138"/>
      <c r="N42" s="137" t="str">
        <f>I39</f>
        <v>RUN 600</v>
      </c>
      <c r="O42" s="138"/>
      <c r="Q42" s="137" t="str">
        <f>I39</f>
        <v>RUN 600</v>
      </c>
      <c r="R42" s="138"/>
    </row>
    <row r="43" spans="3:18" x14ac:dyDescent="0.25">
      <c r="C43" s="136" t="str">
        <f>Translation!E46</f>
        <v>na překladu</v>
      </c>
      <c r="E43" s="136">
        <v>2501</v>
      </c>
      <c r="F43" s="136">
        <f>3325+120</f>
        <v>3445</v>
      </c>
      <c r="H43">
        <f>'LHR-C'!J8</f>
        <v>0</v>
      </c>
      <c r="I43" t="str">
        <f>IF(H43=Selections!C43,0,IF(H43=Selections!C44,35,"Error"))</f>
        <v>Error</v>
      </c>
      <c r="K43" s="136">
        <v>0</v>
      </c>
      <c r="L43" s="136">
        <v>3100</v>
      </c>
      <c r="N43" s="136">
        <v>0</v>
      </c>
      <c r="O43" s="136">
        <v>2950</v>
      </c>
      <c r="Q43" s="136">
        <v>0</v>
      </c>
      <c r="R43" s="136">
        <v>1400</v>
      </c>
    </row>
    <row r="44" spans="3:18" x14ac:dyDescent="0.25">
      <c r="C44" s="136" t="str">
        <f>Translation!E47</f>
        <v>na horní sekci</v>
      </c>
      <c r="E44" s="136">
        <v>2751</v>
      </c>
      <c r="F44" s="136">
        <f>3575+120</f>
        <v>3695</v>
      </c>
      <c r="K44" s="136">
        <v>2126</v>
      </c>
      <c r="L44" s="136">
        <v>4240</v>
      </c>
      <c r="N44" s="136">
        <v>2126</v>
      </c>
      <c r="O44" s="136">
        <v>4060</v>
      </c>
      <c r="Q44" s="136">
        <v>3001</v>
      </c>
      <c r="R44" s="136">
        <v>0</v>
      </c>
    </row>
    <row r="46" spans="3:18" x14ac:dyDescent="0.25">
      <c r="K46" s="137" t="str">
        <f>I40</f>
        <v>Cube</v>
      </c>
      <c r="L46" s="138"/>
      <c r="N46" s="137" t="str">
        <f>I40</f>
        <v>Cube</v>
      </c>
      <c r="O46" s="138"/>
      <c r="Q46" s="137" t="str">
        <f>I40</f>
        <v>Cube</v>
      </c>
      <c r="R46" s="138"/>
    </row>
    <row r="47" spans="3:18" x14ac:dyDescent="0.25">
      <c r="K47" s="136">
        <v>0</v>
      </c>
      <c r="L47" s="136">
        <v>3680</v>
      </c>
      <c r="N47" s="136">
        <v>0</v>
      </c>
      <c r="O47" s="136">
        <v>3480</v>
      </c>
      <c r="Q47" s="136">
        <v>0</v>
      </c>
      <c r="R47" s="136">
        <v>1800</v>
      </c>
    </row>
    <row r="48" spans="3:18" x14ac:dyDescent="0.25">
      <c r="K48" s="136">
        <v>2501</v>
      </c>
      <c r="L48" s="136">
        <v>4160</v>
      </c>
      <c r="N48" s="136">
        <v>2126</v>
      </c>
      <c r="O48" s="136">
        <v>3960</v>
      </c>
      <c r="Q48" s="136">
        <v>2501</v>
      </c>
      <c r="R48" s="136">
        <v>2050</v>
      </c>
    </row>
    <row r="50" spans="3:15" x14ac:dyDescent="0.25">
      <c r="C50" s="132" t="s">
        <v>44</v>
      </c>
    </row>
    <row r="52" spans="3:15" x14ac:dyDescent="0.25">
      <c r="C52" s="133">
        <f>Translation!F38</f>
        <v>0</v>
      </c>
      <c r="E52" s="134" t="s">
        <v>460</v>
      </c>
      <c r="F52" s="135"/>
      <c r="I52" s="133">
        <f>Translation!F43</f>
        <v>0</v>
      </c>
      <c r="K52" s="134" t="s">
        <v>461</v>
      </c>
      <c r="L52" s="135"/>
      <c r="N52" s="134" t="s">
        <v>462</v>
      </c>
      <c r="O52" s="135"/>
    </row>
    <row r="53" spans="3:15" x14ac:dyDescent="0.25">
      <c r="C53" s="136"/>
      <c r="E53" s="136"/>
      <c r="F53" s="136"/>
      <c r="I53" s="136"/>
    </row>
    <row r="54" spans="3:15" x14ac:dyDescent="0.25">
      <c r="C54" s="136">
        <f>Translation!F39</f>
        <v>0</v>
      </c>
      <c r="E54" s="136">
        <v>0</v>
      </c>
      <c r="F54" s="136">
        <f>2575+120</f>
        <v>2695</v>
      </c>
      <c r="I54" s="136" t="s">
        <v>467</v>
      </c>
      <c r="K54" s="137" t="str">
        <f>I54</f>
        <v>D600</v>
      </c>
      <c r="L54" s="138"/>
      <c r="N54" s="137" t="str">
        <f>I54</f>
        <v>D600</v>
      </c>
      <c r="O54" s="138"/>
    </row>
    <row r="55" spans="3:15" x14ac:dyDescent="0.25">
      <c r="C55" s="136">
        <f>Translation!F40</f>
        <v>0</v>
      </c>
      <c r="E55" s="136">
        <v>2001</v>
      </c>
      <c r="F55" s="136">
        <f>2700+120</f>
        <v>2820</v>
      </c>
      <c r="I55" s="136" t="s">
        <v>468</v>
      </c>
      <c r="K55" s="136" t="str">
        <f>N55</f>
        <v>F390119</v>
      </c>
      <c r="L55" s="136">
        <f>O55+(360/2)</f>
        <v>2795</v>
      </c>
      <c r="N55" s="136" t="str">
        <f>I63</f>
        <v>F390119</v>
      </c>
      <c r="O55" s="136">
        <v>2615</v>
      </c>
    </row>
    <row r="56" spans="3:15" x14ac:dyDescent="0.25">
      <c r="E56" s="136">
        <v>2126</v>
      </c>
      <c r="F56" s="136">
        <f>2825+120</f>
        <v>2945</v>
      </c>
      <c r="K56" s="136" t="str">
        <f t="shared" ref="K56:K58" si="4">N56</f>
        <v>F390126</v>
      </c>
      <c r="L56" s="136">
        <f>O56+(360/2)</f>
        <v>3362</v>
      </c>
      <c r="N56" s="136" t="str">
        <f t="shared" ref="N56:N58" si="5">I64</f>
        <v>F390126</v>
      </c>
      <c r="O56" s="136">
        <v>3182</v>
      </c>
    </row>
    <row r="57" spans="3:15" x14ac:dyDescent="0.25">
      <c r="C57" s="133" t="s">
        <v>381</v>
      </c>
      <c r="E57" s="136">
        <v>2251</v>
      </c>
      <c r="F57" s="136">
        <f>2950+120</f>
        <v>3070</v>
      </c>
      <c r="I57">
        <f>Translation!F42</f>
        <v>0</v>
      </c>
      <c r="K57" s="136" t="str">
        <f t="shared" si="4"/>
        <v>F390132</v>
      </c>
      <c r="L57" s="136">
        <f>O57+(360/2)</f>
        <v>3945</v>
      </c>
      <c r="N57" s="136" t="str">
        <f t="shared" si="5"/>
        <v>F390132</v>
      </c>
      <c r="O57" s="136">
        <v>3765</v>
      </c>
    </row>
    <row r="58" spans="3:15" x14ac:dyDescent="0.25">
      <c r="C58" s="136"/>
      <c r="E58" s="136">
        <v>2376</v>
      </c>
      <c r="F58" s="136">
        <f>3075+120</f>
        <v>3195</v>
      </c>
      <c r="I58">
        <f>IF(H58=Selections!C54,90,IF(H58=Selections!C55,125,"Error"))</f>
        <v>90</v>
      </c>
      <c r="K58" s="136" t="str">
        <f t="shared" si="4"/>
        <v>F390139</v>
      </c>
      <c r="L58" s="136">
        <f>O58+(360/2)</f>
        <v>4545</v>
      </c>
      <c r="N58" s="136" t="str">
        <f t="shared" si="5"/>
        <v>F390139</v>
      </c>
      <c r="O58" s="136">
        <v>4365</v>
      </c>
    </row>
    <row r="59" spans="3:15" x14ac:dyDescent="0.25">
      <c r="C59" s="136">
        <f>Translation!F46</f>
        <v>0</v>
      </c>
      <c r="E59" s="136">
        <v>2501</v>
      </c>
      <c r="F59" s="136">
        <f>3325+120</f>
        <v>3445</v>
      </c>
      <c r="I59">
        <f>IF(H59=Selections!C59,0,IF(H59=Selections!C60,35,"Error"))</f>
        <v>0</v>
      </c>
    </row>
    <row r="60" spans="3:15" x14ac:dyDescent="0.25">
      <c r="C60" s="136">
        <f>Translation!F47</f>
        <v>0</v>
      </c>
      <c r="E60" s="136">
        <v>2751</v>
      </c>
      <c r="F60" s="136">
        <f>3575+120</f>
        <v>3695</v>
      </c>
      <c r="K60" s="137" t="str">
        <f>I55</f>
        <v>D1000</v>
      </c>
      <c r="L60" s="138"/>
      <c r="N60" s="137" t="str">
        <f>I55</f>
        <v>D1000</v>
      </c>
      <c r="O60" s="138"/>
    </row>
    <row r="61" spans="3:15" x14ac:dyDescent="0.25">
      <c r="I61" s="133">
        <f>Translation!F53</f>
        <v>0</v>
      </c>
      <c r="K61" s="136" t="str">
        <f>N61</f>
        <v>F390119</v>
      </c>
      <c r="L61" s="136">
        <f>O61+(360/2)</f>
        <v>2795</v>
      </c>
      <c r="N61" s="136" t="str">
        <f>I63</f>
        <v>F390119</v>
      </c>
      <c r="O61" s="136">
        <v>2615</v>
      </c>
    </row>
    <row r="62" spans="3:15" x14ac:dyDescent="0.25">
      <c r="I62" s="139" t="s">
        <v>469</v>
      </c>
      <c r="K62" s="136" t="str">
        <f t="shared" ref="K62:K64" si="6">N62</f>
        <v>F390126</v>
      </c>
      <c r="L62" s="136">
        <f>O62+(360/2)</f>
        <v>3362</v>
      </c>
      <c r="N62" s="136" t="str">
        <f t="shared" ref="N62:N64" si="7">I64</f>
        <v>F390126</v>
      </c>
      <c r="O62" s="136">
        <v>3182</v>
      </c>
    </row>
    <row r="63" spans="3:15" x14ac:dyDescent="0.25">
      <c r="H63" s="136">
        <v>0</v>
      </c>
      <c r="I63" s="136" t="s">
        <v>470</v>
      </c>
      <c r="K63" s="136" t="str">
        <f t="shared" si="6"/>
        <v>F390132</v>
      </c>
      <c r="L63" s="136">
        <f>O63+(360/2)</f>
        <v>3945</v>
      </c>
      <c r="N63" s="136" t="str">
        <f t="shared" si="7"/>
        <v>F390132</v>
      </c>
      <c r="O63" s="136">
        <v>3765</v>
      </c>
    </row>
    <row r="64" spans="3:15" x14ac:dyDescent="0.25">
      <c r="H64" s="136">
        <v>2001</v>
      </c>
      <c r="I64" s="136" t="s">
        <v>471</v>
      </c>
      <c r="K64" s="136" t="str">
        <f t="shared" si="6"/>
        <v>F390139</v>
      </c>
      <c r="L64" s="136">
        <f>O64+(360/2)</f>
        <v>4545</v>
      </c>
      <c r="N64" s="136" t="str">
        <f t="shared" si="7"/>
        <v>F390139</v>
      </c>
      <c r="O64" s="136">
        <v>4365</v>
      </c>
    </row>
    <row r="65" spans="3:20" x14ac:dyDescent="0.25">
      <c r="H65" s="136">
        <v>2401</v>
      </c>
      <c r="I65" s="136" t="s">
        <v>472</v>
      </c>
    </row>
    <row r="66" spans="3:20" x14ac:dyDescent="0.25">
      <c r="H66" s="136">
        <v>3001</v>
      </c>
      <c r="I66" s="136" t="s">
        <v>473</v>
      </c>
    </row>
    <row r="68" spans="3:20" x14ac:dyDescent="0.25">
      <c r="C68" s="132" t="s">
        <v>474</v>
      </c>
    </row>
    <row r="70" spans="3:20" x14ac:dyDescent="0.25">
      <c r="C70" s="133">
        <f>Translation!G38</f>
        <v>0</v>
      </c>
      <c r="I70" s="133">
        <f>Translation!G43</f>
        <v>0</v>
      </c>
      <c r="K70" s="134" t="s">
        <v>461</v>
      </c>
      <c r="L70" s="135"/>
      <c r="N70" s="134" t="s">
        <v>462</v>
      </c>
      <c r="O70" s="135"/>
      <c r="Q70" s="134" t="s">
        <v>463</v>
      </c>
      <c r="R70" s="135"/>
      <c r="T70" s="133">
        <f>Translation!G48</f>
        <v>0</v>
      </c>
    </row>
    <row r="71" spans="3:20" x14ac:dyDescent="0.25">
      <c r="C71" s="136"/>
      <c r="I71" s="136"/>
      <c r="T71" s="136"/>
    </row>
    <row r="72" spans="3:20" x14ac:dyDescent="0.25">
      <c r="C72" s="136">
        <f>Translation!G39</f>
        <v>0</v>
      </c>
      <c r="I72" s="136" t="s">
        <v>33</v>
      </c>
      <c r="K72" s="137" t="str">
        <f>I72</f>
        <v>Black</v>
      </c>
      <c r="L72" s="138"/>
      <c r="N72" s="137" t="str">
        <f>I72</f>
        <v>Black</v>
      </c>
      <c r="O72" s="138"/>
      <c r="Q72" s="137" t="str">
        <f>I72</f>
        <v>Black</v>
      </c>
      <c r="R72" s="138"/>
      <c r="T72" s="136" t="s">
        <v>475</v>
      </c>
    </row>
    <row r="73" spans="3:20" x14ac:dyDescent="0.25">
      <c r="C73" s="136">
        <f>Translation!G40</f>
        <v>0</v>
      </c>
      <c r="I73" s="136" t="s">
        <v>34</v>
      </c>
      <c r="K73" s="136">
        <v>0</v>
      </c>
      <c r="L73" s="136">
        <v>3540</v>
      </c>
      <c r="N73" s="136">
        <v>0</v>
      </c>
      <c r="O73" s="136">
        <v>3265</v>
      </c>
      <c r="Q73" s="136">
        <v>0</v>
      </c>
      <c r="R73" s="136">
        <v>1400</v>
      </c>
      <c r="T73" s="136" t="s">
        <v>476</v>
      </c>
    </row>
    <row r="74" spans="3:20" x14ac:dyDescent="0.25">
      <c r="I74" s="136" t="s">
        <v>35</v>
      </c>
      <c r="K74" s="136">
        <v>2376</v>
      </c>
      <c r="L74" s="136">
        <v>4240</v>
      </c>
      <c r="N74" s="136">
        <v>2376</v>
      </c>
      <c r="O74" s="136">
        <v>3975</v>
      </c>
      <c r="Q74" s="136">
        <v>3001</v>
      </c>
      <c r="R74" s="136"/>
    </row>
    <row r="76" spans="3:20" x14ac:dyDescent="0.25">
      <c r="K76" s="137" t="str">
        <f>I73</f>
        <v>RUN 600</v>
      </c>
      <c r="L76" s="138"/>
      <c r="N76" s="137" t="str">
        <f>I73</f>
        <v>RUN 600</v>
      </c>
      <c r="O76" s="138"/>
      <c r="Q76" s="137" t="str">
        <f>I73</f>
        <v>RUN 600</v>
      </c>
      <c r="R76" s="138"/>
    </row>
    <row r="77" spans="3:20" x14ac:dyDescent="0.25">
      <c r="K77" s="136">
        <v>0</v>
      </c>
      <c r="L77" s="136">
        <v>3100</v>
      </c>
      <c r="N77" s="136">
        <v>0</v>
      </c>
      <c r="O77" s="136">
        <v>2950</v>
      </c>
      <c r="Q77" s="136">
        <v>0</v>
      </c>
      <c r="R77" s="136">
        <v>1400</v>
      </c>
    </row>
    <row r="78" spans="3:20" x14ac:dyDescent="0.25">
      <c r="K78" s="136">
        <v>2126</v>
      </c>
      <c r="L78" s="136">
        <v>4240</v>
      </c>
      <c r="N78" s="136">
        <v>2126</v>
      </c>
      <c r="O78" s="136">
        <v>4060</v>
      </c>
      <c r="Q78" s="136">
        <v>3001</v>
      </c>
      <c r="R78" s="136">
        <v>0</v>
      </c>
    </row>
    <row r="80" spans="3:20" x14ac:dyDescent="0.25">
      <c r="K80" s="137" t="str">
        <f>I74</f>
        <v>Cube</v>
      </c>
      <c r="L80" s="138"/>
      <c r="N80" s="137" t="str">
        <f>I74</f>
        <v>Cube</v>
      </c>
      <c r="O80" s="138"/>
      <c r="Q80" s="137" t="str">
        <f>I74</f>
        <v>Cube</v>
      </c>
      <c r="R80" s="138"/>
    </row>
    <row r="81" spans="3:27" x14ac:dyDescent="0.25">
      <c r="K81" s="136">
        <v>0</v>
      </c>
      <c r="L81" s="136">
        <v>3680</v>
      </c>
      <c r="N81" s="136">
        <v>0</v>
      </c>
      <c r="O81" s="136">
        <v>3480</v>
      </c>
      <c r="Q81" s="136">
        <v>0</v>
      </c>
      <c r="R81" s="136">
        <v>1800</v>
      </c>
    </row>
    <row r="82" spans="3:27" x14ac:dyDescent="0.25">
      <c r="K82" s="136">
        <v>2501</v>
      </c>
      <c r="L82" s="136">
        <v>4160</v>
      </c>
      <c r="N82" s="136">
        <v>2126</v>
      </c>
      <c r="O82" s="136">
        <v>3960</v>
      </c>
      <c r="Q82" s="136">
        <v>2501</v>
      </c>
      <c r="R82" s="136">
        <v>2050</v>
      </c>
    </row>
    <row r="84" spans="3:27" x14ac:dyDescent="0.25">
      <c r="C84" s="132" t="s">
        <v>477</v>
      </c>
    </row>
    <row r="86" spans="3:27" ht="15.75" thickBot="1" x14ac:dyDescent="0.3">
      <c r="C86" s="133">
        <f>Translation!H38</f>
        <v>0</v>
      </c>
      <c r="I86" s="133">
        <f>Translation!H43</f>
        <v>0</v>
      </c>
      <c r="K86" s="134" t="s">
        <v>461</v>
      </c>
      <c r="L86" s="135"/>
      <c r="N86" s="134" t="s">
        <v>462</v>
      </c>
      <c r="O86" s="135"/>
      <c r="Q86" s="133">
        <f>Translation!H48</f>
        <v>0</v>
      </c>
    </row>
    <row r="87" spans="3:27" x14ac:dyDescent="0.25">
      <c r="C87" s="136"/>
      <c r="I87" s="136"/>
      <c r="Q87" s="136"/>
      <c r="V87" s="2"/>
      <c r="W87" s="3"/>
      <c r="X87" s="3"/>
      <c r="Y87" s="3"/>
      <c r="Z87" s="3"/>
      <c r="AA87" s="4"/>
    </row>
    <row r="88" spans="3:27" x14ac:dyDescent="0.25">
      <c r="C88" s="136">
        <f>Translation!H39</f>
        <v>0</v>
      </c>
      <c r="I88" s="136" t="s">
        <v>467</v>
      </c>
      <c r="K88" s="137" t="str">
        <f>I88</f>
        <v>D600</v>
      </c>
      <c r="L88" s="138"/>
      <c r="N88" s="137" t="str">
        <f>I88</f>
        <v>D600</v>
      </c>
      <c r="O88" s="138"/>
      <c r="Q88" s="136" t="s">
        <v>475</v>
      </c>
      <c r="V88" s="9"/>
      <c r="AA88" s="10"/>
    </row>
    <row r="89" spans="3:27" x14ac:dyDescent="0.25">
      <c r="C89" s="136">
        <f>Translation!H40</f>
        <v>0</v>
      </c>
      <c r="I89" s="136" t="s">
        <v>468</v>
      </c>
      <c r="K89" s="136" t="str">
        <f>N89</f>
        <v>F390119</v>
      </c>
      <c r="L89" s="136">
        <f>O89+(360/2)</f>
        <v>2795</v>
      </c>
      <c r="N89" s="136" t="str">
        <f>I96</f>
        <v>F390119</v>
      </c>
      <c r="O89" s="136">
        <v>2615</v>
      </c>
      <c r="Q89" s="136" t="s">
        <v>476</v>
      </c>
      <c r="V89" s="9"/>
      <c r="AA89" s="10"/>
    </row>
    <row r="90" spans="3:27" x14ac:dyDescent="0.25">
      <c r="K90" s="136" t="str">
        <f t="shared" ref="K90:K92" si="8">N90</f>
        <v>F390126</v>
      </c>
      <c r="L90" s="136">
        <f>O90+(360/2)</f>
        <v>3362</v>
      </c>
      <c r="N90" s="136" t="str">
        <f t="shared" ref="N90:N92" si="9">I97</f>
        <v>F390126</v>
      </c>
      <c r="O90" s="136">
        <v>3182</v>
      </c>
      <c r="V90" s="9"/>
      <c r="AA90" s="10"/>
    </row>
    <row r="91" spans="3:27" x14ac:dyDescent="0.25">
      <c r="K91" s="136" t="str">
        <f t="shared" si="8"/>
        <v>F390132</v>
      </c>
      <c r="L91" s="136">
        <f>O91+(360/2)</f>
        <v>3945</v>
      </c>
      <c r="N91" s="136" t="str">
        <f t="shared" si="9"/>
        <v>F390132</v>
      </c>
      <c r="O91" s="136">
        <v>3765</v>
      </c>
      <c r="V91" s="9"/>
      <c r="AA91" s="10"/>
    </row>
    <row r="92" spans="3:27" ht="15.75" thickBot="1" x14ac:dyDescent="0.3">
      <c r="K92" s="136" t="str">
        <f t="shared" si="8"/>
        <v>F390139</v>
      </c>
      <c r="L92" s="136">
        <f>O92+(360/2)</f>
        <v>4545</v>
      </c>
      <c r="N92" s="136" t="str">
        <f t="shared" si="9"/>
        <v>F390139</v>
      </c>
      <c r="O92" s="136">
        <v>4365</v>
      </c>
      <c r="V92" s="19"/>
      <c r="W92" s="20"/>
      <c r="X92" s="20"/>
      <c r="Y92" s="20"/>
      <c r="Z92" s="20"/>
      <c r="AA92" s="21"/>
    </row>
    <row r="94" spans="3:27" x14ac:dyDescent="0.25">
      <c r="I94" s="133">
        <f>Translation!F80</f>
        <v>0</v>
      </c>
      <c r="K94" s="137" t="str">
        <f>I89</f>
        <v>D1000</v>
      </c>
      <c r="L94" s="138"/>
      <c r="N94" s="137" t="str">
        <f>I89</f>
        <v>D1000</v>
      </c>
      <c r="O94" s="138"/>
    </row>
    <row r="95" spans="3:27" x14ac:dyDescent="0.25">
      <c r="I95" s="139" t="s">
        <v>469</v>
      </c>
      <c r="K95" s="136" t="str">
        <f>N95</f>
        <v>F390119</v>
      </c>
      <c r="L95" s="136">
        <f>O95+(360/2)</f>
        <v>2795</v>
      </c>
      <c r="N95" s="136" t="str">
        <f>I96</f>
        <v>F390119</v>
      </c>
      <c r="O95" s="136">
        <v>2615</v>
      </c>
    </row>
    <row r="96" spans="3:27" x14ac:dyDescent="0.25">
      <c r="H96" s="136">
        <v>0</v>
      </c>
      <c r="I96" s="136" t="s">
        <v>470</v>
      </c>
      <c r="K96" s="136" t="str">
        <f t="shared" ref="K96:K98" si="10">N96</f>
        <v>F390126</v>
      </c>
      <c r="L96" s="136">
        <f>O96+(360/2)</f>
        <v>3362</v>
      </c>
      <c r="N96" s="136" t="str">
        <f t="shared" ref="N96:N98" si="11">I97</f>
        <v>F390126</v>
      </c>
      <c r="O96" s="136">
        <v>3182</v>
      </c>
    </row>
    <row r="97" spans="8:15" x14ac:dyDescent="0.25">
      <c r="H97" s="136">
        <v>2001</v>
      </c>
      <c r="I97" s="136" t="s">
        <v>471</v>
      </c>
      <c r="K97" s="136" t="str">
        <f t="shared" si="10"/>
        <v>F390132</v>
      </c>
      <c r="L97" s="136">
        <f>O97+(360/2)</f>
        <v>3945</v>
      </c>
      <c r="N97" s="136" t="str">
        <f t="shared" si="11"/>
        <v>F390132</v>
      </c>
      <c r="O97" s="136">
        <v>3765</v>
      </c>
    </row>
    <row r="98" spans="8:15" x14ac:dyDescent="0.25">
      <c r="H98" s="136">
        <v>2401</v>
      </c>
      <c r="I98" s="136" t="s">
        <v>472</v>
      </c>
      <c r="K98" s="136" t="str">
        <f t="shared" si="10"/>
        <v>F390139</v>
      </c>
      <c r="L98" s="136">
        <f>O98+(360/2)</f>
        <v>4545</v>
      </c>
      <c r="N98" s="136" t="str">
        <f t="shared" si="11"/>
        <v>F390139</v>
      </c>
      <c r="O98" s="136">
        <v>4365</v>
      </c>
    </row>
    <row r="99" spans="8:15" x14ac:dyDescent="0.25">
      <c r="H99" s="136">
        <v>3001</v>
      </c>
      <c r="I99" s="136" t="s">
        <v>473</v>
      </c>
    </row>
  </sheetData>
  <sheetProtection algorithmName="SHA-512" hashValue="ctknVbLmaQk7MeMbi3DDq0w44Ien5z8r/EOBbYF8cNngZxWlu7kI7/0iPJzEJUvQsFai4AQ6tcOQA+nK6MiMmA==" saltValue="qC6Kl7aXRHixR4Dp382Bcg==" spinCount="100000" sheet="1" objects="1" scenarios="1" selectLockedCells="1"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LHR-C</vt:lpstr>
      <vt:lpstr>Translation</vt:lpstr>
      <vt:lpstr>Selections</vt:lpstr>
      <vt:lpstr>'LHR-C'!Oblast_tisku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Horacek</dc:creator>
  <cp:lastModifiedBy>Tomas Horacek</cp:lastModifiedBy>
  <dcterms:created xsi:type="dcterms:W3CDTF">2023-10-11T05:15:03Z</dcterms:created>
  <dcterms:modified xsi:type="dcterms:W3CDTF">2023-10-11T05:15:04Z</dcterms:modified>
</cp:coreProperties>
</file>