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355" windowHeight="10290"/>
  </bookViews>
  <sheets>
    <sheet name="FSL_350" sheetId="1" r:id="rId1"/>
    <sheet name="SW-R FSL350" sheetId="2" r:id="rId2"/>
    <sheet name="SW-L FSL350" sheetId="3" r:id="rId3"/>
  </sheets>
  <definedNames>
    <definedName name="_xlnm.Print_Area" localSheetId="0">FSL_350!$A$1:$AB$68</definedName>
  </definedNames>
  <calcPr calcId="145621"/>
</workbook>
</file>

<file path=xl/calcChain.xml><?xml version="1.0" encoding="utf-8"?>
<calcChain xmlns="http://schemas.openxmlformats.org/spreadsheetml/2006/main">
  <c r="E27" i="3" l="1"/>
  <c r="I15" i="3"/>
  <c r="AG122" i="1"/>
  <c r="AG112" i="1"/>
  <c r="AG111" i="1"/>
  <c r="AG102" i="1"/>
  <c r="AG100" i="1"/>
  <c r="AG92" i="1"/>
  <c r="AG91" i="1"/>
  <c r="AG82" i="1"/>
  <c r="AG81" i="1"/>
  <c r="AG74" i="1"/>
  <c r="AG73" i="1"/>
  <c r="L64" i="1"/>
  <c r="L63" i="1"/>
  <c r="L61" i="1"/>
  <c r="N60" i="1"/>
  <c r="L59" i="1"/>
  <c r="L56" i="1"/>
  <c r="N55" i="1"/>
  <c r="AG54" i="1"/>
  <c r="AG51" i="1"/>
  <c r="AG48" i="1"/>
  <c r="AL45" i="1"/>
  <c r="AG43" i="1"/>
  <c r="AL42" i="1"/>
  <c r="AG36" i="1"/>
  <c r="E32" i="1"/>
  <c r="E27" i="2" s="1"/>
  <c r="AG26" i="1"/>
  <c r="AG21" i="1"/>
  <c r="T21" i="1"/>
  <c r="B21" i="1"/>
  <c r="A15" i="2" s="1"/>
  <c r="AG16" i="1"/>
  <c r="Q12" i="1"/>
  <c r="AG6" i="1"/>
  <c r="AG2" i="1"/>
  <c r="AE1" i="1"/>
  <c r="AG119" i="1" s="1"/>
  <c r="AG5" i="1" l="1"/>
  <c r="D11" i="1" s="1"/>
  <c r="AG15" i="1"/>
  <c r="C64" i="1" s="1"/>
  <c r="AG31" i="1"/>
  <c r="AG42" i="1"/>
  <c r="AG61" i="1"/>
  <c r="AG63" i="1"/>
  <c r="AG72" i="1"/>
  <c r="AG80" i="1"/>
  <c r="AG90" i="1"/>
  <c r="AG98" i="1"/>
  <c r="AG109" i="1"/>
  <c r="E42" i="2" s="1"/>
  <c r="AG120" i="1"/>
  <c r="AG27" i="1"/>
  <c r="AG67" i="1"/>
  <c r="AG93" i="1"/>
  <c r="AG125" i="1"/>
  <c r="AG12" i="1"/>
  <c r="AG38" i="1"/>
  <c r="AG62" i="1"/>
  <c r="AG86" i="1"/>
  <c r="R60" i="1" s="1"/>
  <c r="AG104" i="1"/>
  <c r="AG4" i="1"/>
  <c r="AG29" i="1"/>
  <c r="AG64" i="1"/>
  <c r="AG87" i="1"/>
  <c r="AG128" i="1"/>
  <c r="I11" i="1" s="1"/>
  <c r="AG44" i="1"/>
  <c r="AG83" i="1"/>
  <c r="AG103" i="1"/>
  <c r="H32" i="1" s="1"/>
  <c r="AG3" i="1"/>
  <c r="I22" i="1" s="1"/>
  <c r="AG7" i="1"/>
  <c r="AG22" i="1"/>
  <c r="AG56" i="1"/>
  <c r="AG68" i="1"/>
  <c r="AG114" i="1"/>
  <c r="AG8" i="1"/>
  <c r="M54" i="1" s="1"/>
  <c r="AG49" i="1"/>
  <c r="AG77" i="1"/>
  <c r="AG105" i="1"/>
  <c r="AG13" i="1"/>
  <c r="AG41" i="1"/>
  <c r="AG65" i="1"/>
  <c r="AG70" i="1"/>
  <c r="AG78" i="1"/>
  <c r="AG88" i="1"/>
  <c r="AG96" i="1"/>
  <c r="AG107" i="1"/>
  <c r="AG118" i="1"/>
  <c r="I9" i="1" s="1"/>
  <c r="AG124" i="1"/>
  <c r="AG37" i="1"/>
  <c r="AG60" i="1"/>
  <c r="C54" i="1" s="1"/>
  <c r="AG75" i="1"/>
  <c r="G54" i="1" s="1"/>
  <c r="AG113" i="1"/>
  <c r="AG28" i="1"/>
  <c r="AG76" i="1"/>
  <c r="AG94" i="1"/>
  <c r="AG126" i="1"/>
  <c r="AG32" i="1"/>
  <c r="AG69" i="1"/>
  <c r="AG95" i="1"/>
  <c r="AG116" i="1"/>
  <c r="I20" i="1" s="1"/>
  <c r="AG20" i="1"/>
  <c r="AG45" i="1"/>
  <c r="O5" i="1"/>
  <c r="AG14" i="1"/>
  <c r="AG25" i="1"/>
  <c r="AG30" i="1"/>
  <c r="AG35" i="1"/>
  <c r="R45" i="1" s="1"/>
  <c r="AG50" i="1"/>
  <c r="AG55" i="1"/>
  <c r="AG59" i="1"/>
  <c r="AG66" i="1"/>
  <c r="AG71" i="1"/>
  <c r="AG79" i="1"/>
  <c r="AG89" i="1"/>
  <c r="AG97" i="1"/>
  <c r="AA67" i="1" s="1"/>
  <c r="AG108" i="1"/>
  <c r="E42" i="3" s="1"/>
  <c r="H58" i="1" l="1"/>
  <c r="R57" i="1"/>
  <c r="R58" i="1"/>
  <c r="R51" i="1"/>
  <c r="H59" i="1"/>
  <c r="H56" i="1"/>
  <c r="R49" i="1"/>
  <c r="X45" i="1"/>
  <c r="C61" i="1"/>
  <c r="C44" i="2"/>
  <c r="C44" i="3"/>
  <c r="X60" i="1"/>
  <c r="H63" i="1"/>
  <c r="C62" i="1"/>
  <c r="T60" i="1"/>
  <c r="Y30" i="1"/>
  <c r="C56" i="1"/>
  <c r="G60" i="1"/>
  <c r="G62" i="1"/>
  <c r="Y26" i="1"/>
  <c r="B53" i="1"/>
  <c r="H55" i="1"/>
  <c r="C42" i="3"/>
  <c r="C42" i="2"/>
  <c r="E36" i="1"/>
  <c r="R56" i="1"/>
  <c r="V62" i="1"/>
  <c r="C63" i="1"/>
  <c r="H64" i="1"/>
  <c r="H61" i="1"/>
  <c r="M59" i="1"/>
  <c r="C57" i="1"/>
  <c r="C60" i="1"/>
  <c r="L37" i="1"/>
  <c r="V64" i="1"/>
  <c r="X2" i="1"/>
  <c r="V67" i="1"/>
  <c r="C58" i="1"/>
  <c r="B50" i="1"/>
  <c r="Y21" i="1"/>
  <c r="R54" i="1"/>
  <c r="Z67" i="1"/>
  <c r="G57" i="1"/>
  <c r="I3" i="1"/>
  <c r="AA60" i="1"/>
  <c r="I5" i="1"/>
  <c r="C59" i="1"/>
  <c r="R47" i="1"/>
  <c r="I7" i="1"/>
  <c r="B48" i="1"/>
  <c r="O61" i="1"/>
  <c r="P60" i="1" s="1"/>
  <c r="B39" i="1"/>
  <c r="Q32" i="1"/>
  <c r="O55" i="1"/>
  <c r="P55" i="1" s="1"/>
  <c r="T17" i="1" s="1"/>
  <c r="AB60" i="1"/>
  <c r="B51" i="1"/>
  <c r="Z60" i="1"/>
  <c r="B49" i="1"/>
  <c r="I24" i="1"/>
  <c r="V60" i="1"/>
  <c r="I23" i="1"/>
  <c r="C34" i="1"/>
  <c r="O7" i="1"/>
  <c r="S12" i="1"/>
  <c r="R13" i="1" s="1"/>
  <c r="C32" i="1"/>
  <c r="E42" i="1" s="1"/>
  <c r="R52" i="1"/>
  <c r="C55" i="1"/>
  <c r="Q10" i="1"/>
  <c r="I27" i="1"/>
  <c r="C40" i="3" l="1"/>
  <c r="C40" i="2"/>
  <c r="B17" i="1"/>
  <c r="S19" i="1"/>
  <c r="C46" i="3"/>
  <c r="C46" i="2"/>
  <c r="C48" i="3"/>
  <c r="C48" i="2"/>
  <c r="I5" i="3" l="1"/>
  <c r="A7" i="2"/>
</calcChain>
</file>

<file path=xl/sharedStrings.xml><?xml version="1.0" encoding="utf-8"?>
<sst xmlns="http://schemas.openxmlformats.org/spreadsheetml/2006/main" count="944" uniqueCount="837">
  <si>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</si>
  <si>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</si>
  <si>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</si>
  <si>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</si>
  <si>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</si>
  <si>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</si>
  <si>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</si>
  <si>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</si>
  <si>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</si>
  <si>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</si>
  <si>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</si>
  <si>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</si>
  <si>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</si>
  <si>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</si>
  <si>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</si>
  <si>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</si>
  <si>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</si>
  <si>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</si>
  <si>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</si>
  <si>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</si>
  <si>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</si>
  <si>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</si>
  <si>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</si>
  <si>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</si>
  <si>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</si>
  <si>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</si>
  <si>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</si>
  <si>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</si>
  <si>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</si>
  <si>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</si>
  <si>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</si>
  <si>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</si>
  <si>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</si>
  <si>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7000 mm; H max 3600 mm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</si>
  <si>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</si>
  <si>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</si>
  <si>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</si>
  <si>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</si>
  <si>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</si>
  <si>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</si>
  <si>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</si>
  <si>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</si>
  <si>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</si>
  <si>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</si>
  <si>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</si>
  <si>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</si>
  <si>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</si>
  <si>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</si>
  <si>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</si>
  <si>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</si>
  <si>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</si>
  <si>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</si>
  <si>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</si>
  <si>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</si>
  <si>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</si>
  <si>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</si>
  <si>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</si>
  <si>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</si>
  <si>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</si>
  <si>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</si>
  <si>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</si>
  <si>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</si>
  <si>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</si>
  <si>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</si>
  <si>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Na pravé straně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</si>
  <si>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</si>
  <si>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</si>
  <si>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</si>
  <si>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</si>
  <si>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</si>
  <si>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</si>
  <si>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</si>
  <si>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</si>
  <si>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</si>
  <si>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</si>
  <si>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</si>
  <si>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</si>
  <si>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</si>
  <si>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</si>
  <si>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</si>
  <si>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</si>
  <si>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</si>
  <si>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</si>
  <si>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STANDARDNÍ VEDENÍ POD ÚHLEM (FSL350)</t>
  </si>
  <si>
    <t>ROOF LINE FOLLOWING SYSTEM, STANDARD LIFT (FSL350)</t>
  </si>
  <si>
    <t>DACHFOLGESYSTEM STANDARD BESCHLAG (FSL350)</t>
  </si>
  <si>
    <t>PROWADZENIE STANDARDOWE POD KĄTEM (FSL350)</t>
  </si>
  <si>
    <t>LEVEE STANDARD avec REFOULEMENT TABLIER SOUS RAMPANT TOITURE (FSL350)</t>
  </si>
  <si>
    <t>DAKLIJNVOLGEND SYSTEEM, STANDAARD PLAFONDSYSTEEM (FSL350)</t>
  </si>
  <si>
    <t>Katusekallet järgiv standardtõste (FSL350)</t>
  </si>
  <si>
    <t>KALLISTUKSELLA VAKIONOSTO (FSL350)</t>
  </si>
  <si>
    <t>СИСТЕМА НАПРАВЛЯЮЩИХ ВДОЛЬ КРЫШИ, СТАНДАРТНЫЙ НАКЛОННЫЙ ПОДЪЕМ (FSL350)</t>
  </si>
  <si>
    <t>LANKA UVNITŘ</t>
  </si>
  <si>
    <t>cables INSIDE</t>
  </si>
  <si>
    <t>Seile innen der Führungschiene</t>
  </si>
  <si>
    <t>linki WEWNĄTRZ</t>
  </si>
  <si>
    <t>Câbles INTERIEURS</t>
  </si>
  <si>
    <t>verenpakket boven latei</t>
  </si>
  <si>
    <t>Trossid sees</t>
  </si>
  <si>
    <t>vaijerit SISÄLLÄ</t>
  </si>
  <si>
    <t xml:space="preserve">ТРОСЫ ВНУТРИ 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</si>
  <si>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</si>
  <si>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</si>
  <si>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</si>
  <si>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</si>
  <si>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</si>
  <si>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</si>
  <si>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</si>
  <si>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</si>
  <si>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</si>
  <si>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</si>
  <si>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</si>
  <si>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</si>
  <si>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</si>
  <si>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</si>
  <si>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</si>
  <si>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</si>
  <si>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</si>
  <si>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4000x4000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</si>
  <si>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</si>
  <si>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</si>
  <si>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</si>
  <si>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</si>
  <si>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</si>
  <si>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</si>
  <si>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</si>
  <si>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</si>
  <si>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</si>
  <si>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</si>
  <si>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</si>
  <si>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</si>
  <si>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</si>
  <si>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</si>
  <si>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</si>
  <si>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</si>
  <si>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</si>
  <si>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</si>
  <si>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</si>
  <si>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</si>
  <si>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</si>
  <si>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</si>
  <si>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</si>
  <si>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</si>
  <si>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</si>
  <si>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</si>
  <si>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</si>
  <si>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</si>
  <si>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</si>
  <si>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</si>
  <si>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</si>
  <si>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</si>
  <si>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</si>
  <si>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</si>
  <si>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</si>
  <si>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</si>
  <si>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</si>
  <si>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</si>
  <si>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</si>
  <si>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</si>
  <si>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</si>
  <si>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</si>
  <si>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</si>
  <si>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</si>
  <si>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</si>
  <si>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</si>
  <si>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</si>
  <si>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</si>
  <si>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</si>
  <si>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</si>
  <si>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</si>
  <si>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</si>
  <si>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</si>
  <si>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</si>
  <si>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</si>
  <si>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</si>
  <si>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</si>
  <si>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</si>
  <si>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</si>
  <si>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</si>
  <si>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</si>
  <si>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</si>
  <si>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</si>
  <si>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</si>
  <si>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</si>
  <si>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</si>
  <si>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</si>
  <si>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</si>
  <si>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</si>
  <si>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</si>
  <si>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</si>
  <si>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</si>
  <si>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</si>
  <si>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 </t>
  </si>
  <si>
    <t xml:space="preserve">Elektrická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</si>
  <si>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</si>
  <si>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</si>
  <si>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</si>
  <si>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</si>
  <si>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</si>
  <si>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</si>
  <si>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</si>
  <si>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</si>
  <si>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</si>
  <si>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</si>
  <si>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</si>
  <si>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</si>
  <si>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</si>
  <si>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</si>
  <si>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</si>
  <si>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</si>
  <si>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</si>
  <si>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</si>
  <si>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</si>
  <si>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</si>
  <si>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</si>
  <si>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</si>
  <si>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</si>
  <si>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</si>
  <si>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</si>
  <si>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</si>
  <si>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</si>
  <si>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</si>
  <si>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</si>
  <si>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</si>
  <si>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</si>
  <si>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</si>
  <si>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</si>
  <si>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</si>
  <si>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</si>
  <si>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</si>
  <si>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</si>
  <si>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</si>
  <si>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</si>
  <si>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</si>
  <si>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</si>
  <si>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</si>
  <si>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</si>
  <si>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</si>
  <si>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</si>
  <si>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</si>
  <si>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</si>
  <si>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</si>
  <si>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</si>
  <si>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</si>
  <si>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</si>
  <si>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</si>
  <si>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</si>
  <si>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</si>
  <si>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</si>
  <si>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</si>
  <si>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</si>
  <si>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</si>
  <si>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</si>
  <si>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</si>
  <si>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</si>
  <si>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</si>
  <si>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</si>
  <si>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</si>
  <si>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</si>
  <si>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</si>
  <si>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</si>
  <si>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</si>
  <si>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</si>
  <si>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</si>
  <si>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</si>
  <si>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</si>
  <si>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</si>
  <si>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</si>
  <si>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</si>
  <si>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</si>
  <si>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</si>
  <si>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</si>
  <si>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</si>
  <si>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</si>
  <si>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</si>
  <si>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</si>
  <si>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</si>
  <si>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</si>
  <si>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</si>
  <si>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</si>
  <si>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</si>
  <si>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</si>
  <si>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</si>
  <si>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</si>
  <si>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</si>
  <si>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</si>
  <si>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</si>
  <si>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</si>
  <si>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</si>
  <si>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</si>
  <si>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</si>
  <si>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</si>
  <si>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</si>
  <si>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</si>
  <si>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</si>
  <si>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</si>
  <si>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</si>
  <si>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</si>
  <si>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</si>
  <si>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</si>
  <si>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</si>
  <si>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</si>
  <si>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</si>
  <si>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</si>
  <si>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</si>
  <si>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</si>
  <si>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</si>
  <si>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</si>
  <si>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</si>
  <si>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</si>
  <si>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</si>
  <si>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</si>
  <si>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</si>
  <si>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</si>
  <si>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</si>
  <si>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</si>
  <si>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</si>
  <si>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</si>
  <si>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</si>
  <si>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</si>
  <si>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</si>
  <si>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</si>
  <si>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</si>
  <si>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</si>
  <si>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</si>
  <si>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</si>
  <si>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</si>
  <si>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</si>
  <si>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W =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</si>
  <si>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</si>
  <si>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</si>
  <si>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</si>
  <si>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</si>
  <si>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</si>
  <si>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</si>
  <si>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</si>
  <si>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</si>
  <si>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</si>
  <si>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H =</t>
  </si>
  <si>
    <t>L/R</t>
  </si>
  <si>
    <t>min. 125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</si>
  <si>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</si>
  <si>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</si>
  <si>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</si>
  <si>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</si>
  <si>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</si>
  <si>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</si>
  <si>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</si>
  <si>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</si>
  <si>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</si>
  <si>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</si>
  <si>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 xml:space="preserve">F = </t>
  </si>
  <si>
    <t>D</t>
  </si>
  <si>
    <t>H + 490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</si>
  <si>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</si>
  <si>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</si>
  <si>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</si>
  <si>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</si>
  <si>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</si>
  <si>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</si>
  <si>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</si>
  <si>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</si>
  <si>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</si>
  <si>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A= </t>
  </si>
  <si>
    <t xml:space="preserve">L = </t>
  </si>
  <si>
    <t>min. 375</t>
  </si>
  <si>
    <t xml:space="preserve">R = </t>
  </si>
  <si>
    <t>H + 660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</si>
  <si>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</si>
  <si>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</si>
  <si>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</si>
  <si>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</si>
  <si>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</si>
  <si>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</si>
  <si>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</si>
  <si>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</si>
  <si>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</si>
  <si>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G=</t>
  </si>
  <si>
    <t>D&lt;3000</t>
  </si>
  <si>
    <t>A</t>
  </si>
  <si>
    <t>ширина проема</t>
  </si>
  <si>
    <t xml:space="preserve">D = </t>
  </si>
  <si>
    <t>X</t>
  </si>
  <si>
    <t xml:space="preserve">H </t>
  </si>
  <si>
    <t>K.Luňák</t>
  </si>
  <si>
    <t>R. Kříž</t>
  </si>
  <si>
    <t>STP</t>
  </si>
  <si>
    <t>-</t>
  </si>
  <si>
    <t>A3</t>
  </si>
  <si>
    <t>высота проема</t>
  </si>
  <si>
    <t>X =</t>
  </si>
  <si>
    <t>3000=&lt;D&lt;4500</t>
  </si>
  <si>
    <t>http://door-documents.com/en/indy-installation-drawing-fsl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</si>
  <si>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</si>
  <si>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</si>
  <si>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</si>
  <si>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</si>
  <si>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</si>
  <si>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</si>
  <si>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</si>
  <si>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Y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</si>
  <si>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</si>
  <si>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</si>
  <si>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</si>
  <si>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</si>
  <si>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</si>
  <si>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</si>
  <si>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</si>
  <si>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</si>
  <si>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</si>
  <si>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Z = </t>
  </si>
  <si>
    <t>Y</t>
  </si>
  <si>
    <t>1/2 X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</si>
  <si>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</si>
  <si>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</si>
  <si>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</si>
  <si>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</si>
  <si>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</si>
  <si>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</si>
  <si>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</si>
  <si>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</si>
  <si>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</si>
  <si>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</si>
  <si>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</si>
  <si>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</si>
  <si>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</si>
  <si>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</si>
  <si>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</si>
  <si>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</si>
  <si>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</si>
  <si>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</si>
  <si>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</si>
  <si>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</si>
  <si>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</si>
  <si>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</si>
  <si>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</si>
  <si>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</si>
  <si>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</si>
  <si>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</si>
  <si>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</si>
  <si>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</si>
  <si>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</si>
  <si>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</si>
  <si>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</si>
  <si>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</si>
  <si>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</si>
  <si>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</si>
  <si>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</si>
  <si>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</si>
  <si>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010-2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</si>
  <si>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</si>
  <si>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</si>
  <si>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</si>
  <si>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</si>
  <si>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</si>
  <si>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</si>
  <si>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</si>
  <si>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</si>
  <si>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</si>
  <si>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Úhel sklonu střechy</t>
  </si>
  <si>
    <t>Gradient of the roof</t>
  </si>
  <si>
    <t>Deckenwinkel</t>
  </si>
  <si>
    <t>PENTE DU TOIT</t>
  </si>
  <si>
    <t>Hellingshoek van het dak</t>
  </si>
  <si>
    <t>Katusekalle</t>
  </si>
  <si>
    <t>Katon kaltevuus</t>
  </si>
  <si>
    <t>уклон крыши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</si>
  <si>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</si>
  <si>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</si>
  <si>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</si>
  <si>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</si>
  <si>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</si>
  <si>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Bevestigingspunt voor kokers</t>
  </si>
  <si>
    <t>Nelikantoru kinnituskoht</t>
  </si>
  <si>
    <t>riiputuspiste holkille</t>
  </si>
  <si>
    <t>точки крепления торсионной системы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</si>
  <si>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</si>
  <si>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</si>
  <si>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</si>
  <si>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</si>
  <si>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</si>
  <si>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</si>
  <si>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</si>
  <si>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</si>
  <si>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</si>
  <si>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</si>
  <si>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</si>
  <si>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</si>
  <si>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</si>
  <si>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</si>
  <si>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</si>
  <si>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</si>
  <si>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</si>
  <si>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</si>
  <si>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</si>
  <si>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</si>
  <si>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</si>
  <si>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</si>
  <si>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</si>
  <si>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</si>
  <si>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</si>
  <si>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</si>
  <si>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</si>
  <si>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</si>
  <si>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</si>
  <si>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</si>
  <si>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</si>
  <si>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</si>
  <si>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</si>
  <si>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</si>
  <si>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</si>
  <si>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</si>
  <si>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</si>
  <si>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</si>
  <si>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</si>
  <si>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</si>
  <si>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</si>
  <si>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</si>
  <si>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</si>
  <si>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</si>
  <si>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</si>
  <si>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</si>
  <si>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</si>
  <si>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</si>
  <si>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</si>
  <si>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</si>
  <si>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</si>
  <si>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</si>
  <si>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</si>
  <si>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</si>
  <si>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</si>
  <si>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</si>
  <si>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</si>
  <si>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</si>
  <si>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</si>
  <si>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</si>
  <si>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</si>
  <si>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</si>
  <si>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</si>
  <si>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</si>
  <si>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</si>
  <si>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</si>
  <si>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</si>
  <si>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</si>
  <si>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</si>
  <si>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</si>
  <si>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</si>
  <si>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</si>
  <si>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</si>
  <si>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</si>
  <si>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</si>
  <si>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</si>
  <si>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</si>
  <si>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</si>
  <si>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</si>
  <si>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</si>
  <si>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</si>
  <si>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</si>
  <si>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</si>
  <si>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</si>
  <si>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</si>
  <si>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</si>
  <si>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</si>
  <si>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</si>
  <si>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</si>
  <si>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</si>
  <si>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</si>
  <si>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</si>
  <si>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</si>
  <si>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</si>
  <si>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</si>
  <si>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</si>
  <si>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</si>
  <si>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</si>
  <si>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</si>
  <si>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</si>
  <si>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</si>
  <si>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</si>
  <si>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</si>
  <si>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</si>
  <si>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</si>
  <si>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</si>
  <si>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</si>
  <si>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</si>
  <si>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</si>
  <si>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</si>
  <si>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</si>
  <si>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</si>
  <si>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</si>
  <si>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</si>
  <si>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</si>
  <si>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</si>
  <si>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</si>
  <si>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</si>
  <si>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</si>
  <si>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</si>
  <si>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</si>
  <si>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</si>
  <si>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</si>
  <si>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</si>
  <si>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</si>
  <si>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</si>
  <si>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</si>
  <si>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</si>
  <si>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</si>
  <si>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</si>
  <si>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</si>
  <si>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</si>
  <si>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</si>
  <si>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</si>
  <si>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</si>
  <si>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</si>
  <si>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</si>
  <si>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</si>
  <si>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</si>
  <si>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</si>
  <si>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</si>
  <si>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</si>
  <si>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</si>
  <si>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</si>
  <si>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</si>
  <si>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</si>
  <si>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</si>
  <si>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</si>
  <si>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</si>
  <si>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</si>
  <si>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</si>
  <si>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</si>
  <si>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</si>
  <si>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</si>
  <si>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</si>
  <si>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</si>
  <si>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</si>
  <si>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</si>
  <si>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</si>
  <si>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</si>
  <si>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</si>
  <si>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</si>
  <si>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 xml:space="preserve">STAVEBNÍ PŘIPRAVENOST  </t>
  </si>
  <si>
    <t xml:space="preserve">INSTALLATION DRAWING   </t>
  </si>
  <si>
    <t>BAUBEREITSCHAFT</t>
  </si>
  <si>
    <t xml:space="preserve">PRZYGOTOWANIE KONSTRUKCYJNE                                           </t>
  </si>
  <si>
    <t xml:space="preserve">PLAN DE RESERVATIONS &amp; ENCOMBREMENTS                                         </t>
  </si>
  <si>
    <t>INBOUWTEKENING VOORGE STANDAARD PLAFONDSYSTEEM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</si>
  <si>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</si>
  <si>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</si>
  <si>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</si>
  <si>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</si>
  <si>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</si>
  <si>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</si>
  <si>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</si>
  <si>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RESSORTS AVANTS DEPORTES DU LINTEAU</t>
  </si>
  <si>
    <t>vedrud ava kohal</t>
  </si>
  <si>
    <t>jouset ovipalkkin päällä</t>
  </si>
  <si>
    <t>нижнее расположение вала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</si>
  <si>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</si>
  <si>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</si>
  <si>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</si>
  <si>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</si>
  <si>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</si>
  <si>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</si>
  <si>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</si>
  <si>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</si>
  <si>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</si>
  <si>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</si>
  <si>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</si>
  <si>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</si>
  <si>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</si>
  <si>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</si>
  <si>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</si>
  <si>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</si>
  <si>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</si>
  <si>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</si>
  <si>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</si>
  <si>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</si>
  <si>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</si>
  <si>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</si>
  <si>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</si>
  <si>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</si>
  <si>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</si>
  <si>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</si>
  <si>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</si>
  <si>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</si>
  <si>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</si>
  <si>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</si>
  <si>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</si>
  <si>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</si>
  <si>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</si>
  <si>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</si>
  <si>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</si>
  <si>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</si>
  <si>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</si>
  <si>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</si>
  <si>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</si>
  <si>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</si>
  <si>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</si>
  <si>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</si>
  <si>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</si>
  <si>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</si>
  <si>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</si>
  <si>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</si>
  <si>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</si>
  <si>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</si>
  <si>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</si>
  <si>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</si>
  <si>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</si>
  <si>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</si>
  <si>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</si>
  <si>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</si>
  <si>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</si>
  <si>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</si>
  <si>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</si>
  <si>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</si>
  <si>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</si>
  <si>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</si>
  <si>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</si>
  <si>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</si>
  <si>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</si>
  <si>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</si>
  <si>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</si>
  <si>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</si>
  <si>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</si>
  <si>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Haspelkette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</si>
  <si>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</si>
  <si>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</si>
  <si>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</si>
  <si>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</si>
  <si>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</si>
  <si>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</si>
  <si>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</si>
  <si>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Position of motor</t>
  </si>
  <si>
    <t>Antriebsposition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</si>
  <si>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</si>
  <si>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</si>
  <si>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</si>
  <si>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</si>
  <si>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</si>
  <si>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</si>
  <si>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</si>
  <si>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</si>
  <si>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</si>
  <si>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</si>
  <si>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</si>
  <si>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</si>
  <si>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</si>
  <si>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</si>
  <si>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</si>
  <si>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</si>
  <si>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</si>
  <si>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</si>
  <si>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</si>
  <si>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</si>
  <si>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</si>
  <si>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</si>
  <si>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</si>
  <si>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</si>
  <si>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</si>
  <si>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</si>
  <si>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</si>
  <si>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</si>
  <si>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</si>
  <si>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</si>
  <si>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</si>
  <si>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</si>
  <si>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</si>
  <si>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</si>
  <si>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</si>
  <si>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</si>
  <si>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</si>
  <si>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</si>
  <si>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</si>
  <si>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</si>
  <si>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</si>
  <si>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</si>
  <si>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</si>
  <si>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</si>
  <si>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</si>
  <si>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</si>
  <si>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</si>
  <si>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Montážní plocha pro motor</t>
  </si>
  <si>
    <t>Mounting surface for motor</t>
  </si>
  <si>
    <t>Montagefläche für Antriebe</t>
  </si>
  <si>
    <t>powierzchnia montażowa dla silnika</t>
  </si>
  <si>
    <t>Surface de montage pour le moteur</t>
  </si>
  <si>
    <t>Montagevlak voor motor</t>
  </si>
  <si>
    <t>Mootori kinnituspind</t>
  </si>
  <si>
    <t>Mootorin asenuspinta</t>
  </si>
  <si>
    <t>Монтажная поверхность для мотора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</si>
  <si>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</si>
  <si>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</si>
  <si>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</si>
  <si>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</si>
  <si>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</si>
  <si>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</si>
  <si>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</si>
  <si>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</si>
  <si>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</si>
  <si>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</si>
  <si>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</si>
  <si>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</si>
  <si>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</si>
  <si>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</si>
  <si>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</si>
  <si>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překlad automaticky HL+360 a osa hřídele HL+210 mm</t>
  </si>
  <si>
    <t>When 1 1/4 "shaft, lintel is HL+360 and axis of shaft is HL + 210 mm</t>
  </si>
  <si>
    <t>Wenn 1 1/4 "Schaft, Sturz ist HL + 360 und Achse der Welle ist HL + 210 mm</t>
  </si>
  <si>
    <t>Po 1 1/4 "Wał, nadproża jest HL + 360 i oś wału jest HL + 210 mm</t>
  </si>
  <si>
    <t>Lorsque 1 1/4 "arbre, linteau est HL + 360 et l'axe ou l'arbre est HL + 210 mm</t>
  </si>
  <si>
    <t>Wanneer 1 1/4 "schacht, latei is HL + 360 en as van de as is HL + 210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</si>
  <si>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</si>
  <si>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</si>
  <si>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</si>
  <si>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</si>
  <si>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</si>
  <si>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type Laufschienen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</si>
  <si>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</si>
  <si>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</si>
  <si>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</si>
  <si>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</si>
  <si>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</si>
  <si>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</si>
  <si>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</si>
  <si>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</si>
  <si>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Úhel</t>
  </si>
  <si>
    <t>Angle</t>
  </si>
  <si>
    <t>Winkel</t>
  </si>
  <si>
    <t>Kąt</t>
  </si>
  <si>
    <t>Hoek</t>
  </si>
  <si>
    <t>Vinkel</t>
  </si>
  <si>
    <t>Kulma</t>
  </si>
  <si>
    <t>Угол</t>
  </si>
  <si>
    <t>3°-25°</t>
  </si>
  <si>
    <t>26°-30°</t>
  </si>
  <si>
    <t>31°-35°</t>
  </si>
  <si>
    <t>36°-39°</t>
  </si>
  <si>
    <t>40°-45°</t>
  </si>
  <si>
    <t>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</si>
</sst>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theme="0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6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6" fillId="3" borderId="0" xfId="0" applyFont="1" applyFill="1"/>
    <xf numFmtId="0" fontId="0" fillId="0" borderId="0" xfId="0" applyFill="1" applyBorder="1"/>
    <xf numFmtId="0" fontId="7" fillId="0" borderId="0" xfId="0" applyFont="1"/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/>
    <xf numFmtId="0" fontId="0" fillId="0" borderId="12" xfId="0" applyBorder="1"/>
    <xf numFmtId="0" fontId="8" fillId="0" borderId="0" xfId="0" applyFont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right" textRotation="105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1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Fill="1" applyAlignment="1"/>
    <xf numFmtId="0" fontId="10" fillId="0" borderId="0" xfId="0" applyFont="1" applyAlignment="1">
      <alignment textRotation="110"/>
    </xf>
    <xf numFmtId="0" fontId="10" fillId="0" borderId="0" xfId="0" applyFont="1" applyAlignment="1">
      <alignment vertical="center" textRotation="105"/>
    </xf>
    <xf numFmtId="0" fontId="10" fillId="0" borderId="0" xfId="0" applyFont="1" applyFill="1" applyAlignment="1">
      <alignment horizontal="left" vertical="center" textRotation="110"/>
    </xf>
    <xf numFmtId="1" fontId="10" fillId="0" borderId="0" xfId="0" applyNumberFormat="1" applyFont="1" applyFill="1" applyBorder="1" applyAlignment="1">
      <alignment horizontal="right" vertical="top" textRotation="105"/>
    </xf>
    <xf numFmtId="1" fontId="10" fillId="0" borderId="0" xfId="0" applyNumberFormat="1" applyFont="1" applyFill="1" applyBorder="1" applyAlignment="1">
      <alignment horizontal="center" textRotation="110"/>
    </xf>
    <xf numFmtId="0" fontId="10" fillId="0" borderId="0" xfId="0" applyFont="1" applyBorder="1" applyAlignment="1">
      <alignment horizontal="left" textRotation="90"/>
    </xf>
    <xf numFmtId="0" fontId="11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/>
    <xf numFmtId="0" fontId="10" fillId="0" borderId="0" xfId="0" applyFont="1" applyAlignment="1">
      <alignment textRotation="104"/>
    </xf>
    <xf numFmtId="1" fontId="10" fillId="0" borderId="0" xfId="0" applyNumberFormat="1" applyFont="1" applyFill="1" applyBorder="1" applyAlignment="1">
      <alignment horizontal="right" vertical="center" textRotation="110"/>
    </xf>
    <xf numFmtId="0" fontId="10" fillId="0" borderId="0" xfId="0" applyFont="1" applyBorder="1" applyAlignment="1">
      <alignment horizontal="right" vertical="top" textRotation="90"/>
    </xf>
    <xf numFmtId="0" fontId="10" fillId="0" borderId="12" xfId="0" applyFont="1" applyBorder="1" applyAlignment="1">
      <alignment horizontal="right" textRotation="90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left" vertical="top" textRotation="9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vertical="top" textRotation="90"/>
    </xf>
    <xf numFmtId="0" fontId="1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center" textRotation="90"/>
    </xf>
    <xf numFmtId="0" fontId="5" fillId="0" borderId="0" xfId="0" applyFont="1"/>
    <xf numFmtId="0" fontId="10" fillId="0" borderId="0" xfId="0" applyFont="1" applyBorder="1" applyAlignment="1">
      <alignment textRotation="90"/>
    </xf>
    <xf numFmtId="0" fontId="10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 horizontal="left" vertical="center" textRotation="90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/>
    <xf numFmtId="0" fontId="10" fillId="0" borderId="12" xfId="0" applyFont="1" applyBorder="1" applyAlignment="1">
      <alignment horizontal="center" textRotation="90"/>
    </xf>
    <xf numFmtId="0" fontId="9" fillId="0" borderId="12" xfId="0" applyFont="1" applyBorder="1" applyAlignment="1">
      <alignment horizontal="right" vertical="top" textRotation="90"/>
    </xf>
    <xf numFmtId="0" fontId="9" fillId="0" borderId="0" xfId="0" applyFont="1" applyBorder="1" applyAlignment="1">
      <alignment textRotation="90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/>
    <xf numFmtId="0" fontId="1" fillId="0" borderId="0" xfId="0" applyFont="1"/>
    <xf numFmtId="0" fontId="5" fillId="0" borderId="12" xfId="0" applyFont="1" applyBorder="1"/>
    <xf numFmtId="0" fontId="9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5" xfId="0" applyFill="1" applyBorder="1" applyAlignment="1">
      <alignment vertical="center"/>
    </xf>
    <xf numFmtId="0" fontId="15" fillId="0" borderId="13" xfId="0" applyFont="1" applyFill="1" applyBorder="1" applyAlignment="1"/>
    <xf numFmtId="0" fontId="15" fillId="0" borderId="14" xfId="0" applyFont="1" applyFill="1" applyBorder="1" applyAlignment="1"/>
    <xf numFmtId="0" fontId="6" fillId="0" borderId="11" xfId="0" applyFont="1" applyFill="1" applyBorder="1" applyAlignment="1" applyProtection="1"/>
    <xf numFmtId="0" fontId="16" fillId="0" borderId="14" xfId="0" applyFont="1" applyFill="1" applyBorder="1" applyAlignment="1">
      <alignment horizontal="right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6" fillId="0" borderId="0" xfId="0" applyFont="1"/>
    <xf numFmtId="0" fontId="0" fillId="0" borderId="17" xfId="0" applyBorder="1"/>
    <xf numFmtId="0" fontId="0" fillId="0" borderId="3" xfId="0" applyFill="1" applyBorder="1" applyAlignment="1">
      <alignment horizontal="center"/>
    </xf>
    <xf numFmtId="0" fontId="15" fillId="0" borderId="14" xfId="0" applyFont="1" applyFill="1" applyBorder="1"/>
    <xf numFmtId="0" fontId="17" fillId="0" borderId="0" xfId="0" applyFont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8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7" xfId="0" applyFill="1" applyBorder="1"/>
    <xf numFmtId="0" fontId="16" fillId="0" borderId="13" xfId="0" applyFont="1" applyBorder="1"/>
    <xf numFmtId="0" fontId="16" fillId="0" borderId="14" xfId="0" applyFont="1" applyBorder="1"/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8" fillId="6" borderId="2" xfId="0" applyFont="1" applyFill="1" applyBorder="1" applyAlignment="1">
      <alignment horizontal="center" vertical="center" wrapText="1" shrinkToFit="1"/>
    </xf>
    <xf numFmtId="0" fontId="18" fillId="6" borderId="5" xfId="0" applyFont="1" applyFill="1" applyBorder="1" applyAlignment="1">
      <alignment horizontal="center" vertical="center" wrapText="1" shrinkToFit="1"/>
    </xf>
    <xf numFmtId="0" fontId="18" fillId="6" borderId="6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8" fillId="6" borderId="12" xfId="0" applyFont="1" applyFill="1" applyBorder="1" applyAlignment="1">
      <alignment horizontal="center" vertical="center" wrapText="1" shrinkToFit="1"/>
    </xf>
    <xf numFmtId="0" fontId="18" fillId="6" borderId="0" xfId="0" applyFont="1" applyFill="1" applyBorder="1" applyAlignment="1">
      <alignment horizontal="center" vertical="center" wrapText="1" shrinkToFit="1"/>
    </xf>
    <xf numFmtId="0" fontId="18" fillId="6" borderId="4" xfId="0" applyFont="1" applyFill="1" applyBorder="1" applyAlignment="1">
      <alignment horizontal="center" vertical="center" wrapText="1" shrinkToFit="1"/>
    </xf>
    <xf numFmtId="0" fontId="0" fillId="3" borderId="15" xfId="0" applyFill="1" applyBorder="1"/>
    <xf numFmtId="0" fontId="0" fillId="0" borderId="14" xfId="0" applyBorder="1" applyAlignment="1">
      <alignment horizontal="center"/>
    </xf>
    <xf numFmtId="0" fontId="0" fillId="0" borderId="18" xfId="0" applyFill="1" applyBorder="1"/>
    <xf numFmtId="0" fontId="0" fillId="0" borderId="13" xfId="0" applyBorder="1" applyAlignment="1">
      <alignment vertical="center"/>
    </xf>
    <xf numFmtId="0" fontId="0" fillId="0" borderId="17" xfId="0" applyFill="1" applyBorder="1"/>
    <xf numFmtId="0" fontId="18" fillId="6" borderId="18" xfId="0" applyFont="1" applyFill="1" applyBorder="1" applyAlignment="1">
      <alignment horizontal="center" vertical="center" wrapText="1" shrinkToFit="1"/>
    </xf>
    <xf numFmtId="0" fontId="18" fillId="6" borderId="1" xfId="0" applyFont="1" applyFill="1" applyBorder="1" applyAlignment="1">
      <alignment horizontal="center" vertical="center" wrapText="1" shrinkToFit="1"/>
    </xf>
    <xf numFmtId="0" fontId="18" fillId="6" borderId="17" xfId="0" applyFont="1" applyFill="1" applyBorder="1" applyAlignment="1">
      <alignment horizontal="center" vertical="center" wrapText="1" shrinkToFit="1"/>
    </xf>
    <xf numFmtId="0" fontId="0" fillId="0" borderId="15" xfId="0" applyBorder="1"/>
    <xf numFmtId="0" fontId="0" fillId="0" borderId="19" xfId="0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" fontId="0" fillId="0" borderId="11" xfId="0" applyNumberFormat="1" applyFill="1" applyBorder="1"/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3" xfId="0" applyFill="1" applyBorder="1"/>
    <xf numFmtId="0" fontId="20" fillId="0" borderId="14" xfId="0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8" xfId="0" applyBorder="1"/>
    <xf numFmtId="0" fontId="19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/>
    <xf numFmtId="49" fontId="0" fillId="0" borderId="0" xfId="0" applyNumberFormat="1"/>
    <xf numFmtId="0" fontId="14" fillId="0" borderId="2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0" xfId="0" applyFont="1"/>
    <xf numFmtId="0" fontId="14" fillId="0" borderId="12" xfId="0" applyFont="1" applyBorder="1"/>
    <xf numFmtId="0" fontId="14" fillId="0" borderId="4" xfId="0" applyFont="1" applyBorder="1"/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vertical="center" textRotation="90"/>
    </xf>
    <xf numFmtId="0" fontId="10" fillId="0" borderId="0" xfId="0" applyFont="1" applyBorder="1" applyAlignment="1">
      <alignment horizontal="left" vertical="top" textRotation="90"/>
    </xf>
    <xf numFmtId="0" fontId="10" fillId="0" borderId="12" xfId="0" applyFont="1" applyBorder="1" applyAlignment="1">
      <alignment textRotation="90"/>
    </xf>
    <xf numFmtId="0" fontId="1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textRotation="90"/>
    </xf>
    <xf numFmtId="0" fontId="10" fillId="0" borderId="4" xfId="0" applyFont="1" applyBorder="1" applyAlignment="1">
      <alignment vertical="center" textRotation="90"/>
    </xf>
    <xf numFmtId="0" fontId="10" fillId="0" borderId="12" xfId="0" applyFont="1" applyBorder="1" applyAlignment="1">
      <alignment textRotation="90"/>
    </xf>
    <xf numFmtId="0" fontId="10" fillId="0" borderId="0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7</xdr:row>
      <xdr:rowOff>152400</xdr:rowOff>
    </xdr:from>
    <xdr:to>
      <xdr:col>19</xdr:col>
      <xdr:colOff>333375</xdr:colOff>
      <xdr:row>33</xdr:row>
      <xdr:rowOff>47625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885950"/>
          <a:ext cx="4524375" cy="627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10</xdr:row>
      <xdr:rowOff>161925</xdr:rowOff>
    </xdr:from>
    <xdr:to>
      <xdr:col>7</xdr:col>
      <xdr:colOff>514350</xdr:colOff>
      <xdr:row>33</xdr:row>
      <xdr:rowOff>180975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38425"/>
          <a:ext cx="3990975" cy="565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514350</xdr:colOff>
      <xdr:row>43</xdr:row>
      <xdr:rowOff>161925</xdr:rowOff>
    </xdr:from>
    <xdr:to>
      <xdr:col>16</xdr:col>
      <xdr:colOff>600075</xdr:colOff>
      <xdr:row>47</xdr:row>
      <xdr:rowOff>66675</xdr:rowOff>
    </xdr:to>
    <xdr:pic>
      <xdr:nvPicPr>
        <xdr:cNvPr id="4" name="Picture 30" descr="part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03917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390525</xdr:colOff>
      <xdr:row>43</xdr:row>
      <xdr:rowOff>152400</xdr:rowOff>
    </xdr:from>
    <xdr:to>
      <xdr:col>23</xdr:col>
      <xdr:colOff>38100</xdr:colOff>
      <xdr:row>45</xdr:row>
      <xdr:rowOff>95250</xdr:rowOff>
    </xdr:to>
    <xdr:pic>
      <xdr:nvPicPr>
        <xdr:cNvPr id="5" name="Picture 31" descr="part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86" b="53847"/>
        <a:stretch>
          <a:fillRect/>
        </a:stretch>
      </xdr:blipFill>
      <xdr:spPr bwMode="auto">
        <a:xfrm>
          <a:off x="14573250" y="10382250"/>
          <a:ext cx="866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22</xdr:row>
      <xdr:rowOff>152400</xdr:rowOff>
    </xdr:from>
    <xdr:to>
      <xdr:col>7</xdr:col>
      <xdr:colOff>542925</xdr:colOff>
      <xdr:row>24</xdr:row>
      <xdr:rowOff>85725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 flipV="1">
          <a:off x="4000500" y="5886450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26</xdr:row>
      <xdr:rowOff>9525</xdr:rowOff>
    </xdr:from>
    <xdr:to>
      <xdr:col>7</xdr:col>
      <xdr:colOff>514350</xdr:colOff>
      <xdr:row>26</xdr:row>
      <xdr:rowOff>114300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3981450" y="6543675"/>
          <a:ext cx="6286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19</xdr:row>
      <xdr:rowOff>361950</xdr:rowOff>
    </xdr:from>
    <xdr:to>
      <xdr:col>7</xdr:col>
      <xdr:colOff>523875</xdr:colOff>
      <xdr:row>21</xdr:row>
      <xdr:rowOff>104775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 flipH="1" flipV="1">
          <a:off x="3914775" y="5010150"/>
          <a:ext cx="704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114300</xdr:colOff>
      <xdr:row>62</xdr:row>
      <xdr:rowOff>190500</xdr:rowOff>
    </xdr:from>
    <xdr:to>
      <xdr:col>19</xdr:col>
      <xdr:colOff>485775</xdr:colOff>
      <xdr:row>67</xdr:row>
      <xdr:rowOff>133350</xdr:rowOff>
    </xdr:to>
    <xdr:pic>
      <xdr:nvPicPr>
        <xdr:cNvPr id="9" name="Obrázek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6" t="7045" r="7590" b="6873"/>
        <a:stretch>
          <a:fillRect/>
        </a:stretch>
      </xdr:blipFill>
      <xdr:spPr bwMode="auto">
        <a:xfrm>
          <a:off x="12468225" y="14220825"/>
          <a:ext cx="981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314325</xdr:colOff>
      <xdr:row>37</xdr:row>
      <xdr:rowOff>95250</xdr:rowOff>
    </xdr:from>
    <xdr:to>
      <xdr:col>11</xdr:col>
      <xdr:colOff>476250</xdr:colOff>
      <xdr:row>47</xdr:row>
      <xdr:rowOff>66675</xdr:rowOff>
    </xdr:to>
    <xdr:grpSp>
      <xdr:nvGrpSpPr>
        <xdr:cNvPr id="10" name="Skupina 9"/>
        <xdr:cNvGrpSpPr>
          <a:grpSpLocks/>
        </xdr:cNvGrpSpPr>
      </xdr:nvGrpSpPr>
      <xdr:grpSpPr bwMode="auto">
        <a:xfrm>
          <a:off x="6086475" y="9029700"/>
          <a:ext cx="2114550" cy="2057400"/>
          <a:chOff x="5595714" y="8462506"/>
          <a:chExt cx="2207432" cy="2483472"/>
        </a:xfrm>
      </xdr:grpSpPr>
      <xdr:pic>
        <xdr:nvPicPr>
          <xdr:cNvPr id="11" name="Obrázek 5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TextovéPole 11"/>
          <xdr:cNvSpPr txBox="1"/>
        </xdr:nvSpPr>
        <xdr:spPr>
          <a:xfrm>
            <a:off x="6938071" y="8462506"/>
            <a:ext cx="865075" cy="7243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3" name="Obrázek 8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239486</xdr:colOff>
      <xdr:row>5</xdr:row>
      <xdr:rowOff>216354</xdr:rowOff>
    </xdr:from>
    <xdr:to>
      <xdr:col>26</xdr:col>
      <xdr:colOff>772886</xdr:colOff>
      <xdr:row>19</xdr:row>
      <xdr:rowOff>417739</xdr:rowOff>
    </xdr:to>
    <xdr:grpSp>
      <xdr:nvGrpSpPr>
        <xdr:cNvPr id="14" name="Skupina 7"/>
        <xdr:cNvGrpSpPr>
          <a:grpSpLocks/>
        </xdr:cNvGrpSpPr>
      </xdr:nvGrpSpPr>
      <xdr:grpSpPr bwMode="auto">
        <a:xfrm>
          <a:off x="14422211" y="1406979"/>
          <a:ext cx="3762375" cy="3658960"/>
          <a:chOff x="14828966" y="1243852"/>
          <a:chExt cx="3824702" cy="3687680"/>
        </a:xfrm>
      </xdr:grpSpPr>
      <xdr:pic>
        <xdr:nvPicPr>
          <xdr:cNvPr id="15" name="Obrázek 6"/>
          <xdr:cNvPicPr>
            <a:picLocks noChangeAspect="1"/>
          </xdr:cNvPicPr>
        </xdr:nvPicPr>
        <xdr:blipFill>
          <a:blip xmlns:r="http://schemas.openxmlformats.org/officeDocument/2006/relationships"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28966" y="1243852"/>
            <a:ext cx="3824702" cy="36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6" name="Skupina 10"/>
          <xdr:cNvGrpSpPr>
            <a:grpSpLocks/>
          </xdr:cNvGrpSpPr>
        </xdr:nvGrpSpPr>
        <xdr:grpSpPr bwMode="auto">
          <a:xfrm>
            <a:off x="16258408" y="4048025"/>
            <a:ext cx="885553" cy="787473"/>
            <a:chOff x="15900682" y="3837815"/>
            <a:chExt cx="847683" cy="795759"/>
          </a:xfrm>
        </xdr:grpSpPr>
        <xdr:sp macro="" textlink="">
          <xdr:nvSpPr>
            <xdr:cNvPr id="17" name="Ovál 16"/>
            <xdr:cNvSpPr/>
          </xdr:nvSpPr>
          <xdr:spPr>
            <a:xfrm>
              <a:off x="15900682" y="4002789"/>
              <a:ext cx="637927" cy="630785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8" name="TextovéPole 17"/>
            <xdr:cNvSpPr txBox="1"/>
          </xdr:nvSpPr>
          <xdr:spPr>
            <a:xfrm>
              <a:off x="16492382" y="3837815"/>
              <a:ext cx="255983" cy="2695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1</xdr:col>
      <xdr:colOff>336521</xdr:colOff>
      <xdr:row>31</xdr:row>
      <xdr:rowOff>46693</xdr:rowOff>
    </xdr:from>
    <xdr:to>
      <xdr:col>2</xdr:col>
      <xdr:colOff>241271</xdr:colOff>
      <xdr:row>32</xdr:row>
      <xdr:rowOff>122893</xdr:rowOff>
    </xdr:to>
    <xdr:sp macro="" textlink="">
      <xdr:nvSpPr>
        <xdr:cNvPr id="19" name="TextovéPole 18"/>
        <xdr:cNvSpPr txBox="1"/>
      </xdr:nvSpPr>
      <xdr:spPr>
        <a:xfrm>
          <a:off x="517496" y="7771468"/>
          <a:ext cx="5143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>
    <xdr:from>
      <xdr:col>7</xdr:col>
      <xdr:colOff>55375</xdr:colOff>
      <xdr:row>31</xdr:row>
      <xdr:rowOff>63838</xdr:rowOff>
    </xdr:from>
    <xdr:to>
      <xdr:col>7</xdr:col>
      <xdr:colOff>475779</xdr:colOff>
      <xdr:row>32</xdr:row>
      <xdr:rowOff>151919</xdr:rowOff>
    </xdr:to>
    <xdr:sp macro="" textlink="">
      <xdr:nvSpPr>
        <xdr:cNvPr id="20" name="TextovéPole 19"/>
        <xdr:cNvSpPr txBox="1"/>
      </xdr:nvSpPr>
      <xdr:spPr>
        <a:xfrm>
          <a:off x="4151125" y="7788613"/>
          <a:ext cx="420404" cy="288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2</xdr:col>
      <xdr:colOff>710565</xdr:colOff>
      <xdr:row>29</xdr:row>
      <xdr:rowOff>57151</xdr:rowOff>
    </xdr:from>
    <xdr:to>
      <xdr:col>3</xdr:col>
      <xdr:colOff>76269</xdr:colOff>
      <xdr:row>30</xdr:row>
      <xdr:rowOff>112580</xdr:rowOff>
    </xdr:to>
    <xdr:sp macro="" textlink="">
      <xdr:nvSpPr>
        <xdr:cNvPr id="21" name="TextovéPole 20"/>
        <xdr:cNvSpPr txBox="1"/>
      </xdr:nvSpPr>
      <xdr:spPr>
        <a:xfrm>
          <a:off x="1501140" y="7362826"/>
          <a:ext cx="365829" cy="27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80</a:t>
          </a:r>
        </a:p>
      </xdr:txBody>
    </xdr:sp>
    <xdr:clientData/>
  </xdr:twoCellAnchor>
  <xdr:twoCellAnchor>
    <xdr:from>
      <xdr:col>5</xdr:col>
      <xdr:colOff>361950</xdr:colOff>
      <xdr:row>29</xdr:row>
      <xdr:rowOff>57151</xdr:rowOff>
    </xdr:from>
    <xdr:to>
      <xdr:col>6</xdr:col>
      <xdr:colOff>114300</xdr:colOff>
      <xdr:row>30</xdr:row>
      <xdr:rowOff>112580</xdr:rowOff>
    </xdr:to>
    <xdr:sp macro="" textlink="">
      <xdr:nvSpPr>
        <xdr:cNvPr id="22" name="TextovéPole 21"/>
        <xdr:cNvSpPr txBox="1"/>
      </xdr:nvSpPr>
      <xdr:spPr>
        <a:xfrm>
          <a:off x="3238500" y="7362826"/>
          <a:ext cx="361950" cy="27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80</a:t>
          </a:r>
        </a:p>
      </xdr:txBody>
    </xdr:sp>
    <xdr:clientData/>
  </xdr:twoCellAnchor>
  <xdr:twoCellAnchor>
    <xdr:from>
      <xdr:col>6</xdr:col>
      <xdr:colOff>457200</xdr:colOff>
      <xdr:row>18</xdr:row>
      <xdr:rowOff>9525</xdr:rowOff>
    </xdr:from>
    <xdr:to>
      <xdr:col>7</xdr:col>
      <xdr:colOff>514350</xdr:colOff>
      <xdr:row>19</xdr:row>
      <xdr:rowOff>76200</xdr:rowOff>
    </xdr:to>
    <xdr:sp macro="" textlink="">
      <xdr:nvSpPr>
        <xdr:cNvPr id="23" name="Line 259"/>
        <xdr:cNvSpPr>
          <a:spLocks noChangeShapeType="1"/>
        </xdr:cNvSpPr>
      </xdr:nvSpPr>
      <xdr:spPr bwMode="auto">
        <a:xfrm flipH="1" flipV="1">
          <a:off x="3943350" y="4286250"/>
          <a:ext cx="6667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266700</xdr:colOff>
      <xdr:row>19</xdr:row>
      <xdr:rowOff>581025</xdr:rowOff>
    </xdr:from>
    <xdr:to>
      <xdr:col>23</xdr:col>
      <xdr:colOff>581025</xdr:colOff>
      <xdr:row>35</xdr:row>
      <xdr:rowOff>19050</xdr:rowOff>
    </xdr:to>
    <xdr:pic>
      <xdr:nvPicPr>
        <xdr:cNvPr id="24" name="Obrázek 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5229225"/>
          <a:ext cx="15335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316937</xdr:colOff>
      <xdr:row>11</xdr:row>
      <xdr:rowOff>69546</xdr:rowOff>
    </xdr:from>
    <xdr:to>
      <xdr:col>18</xdr:col>
      <xdr:colOff>131056</xdr:colOff>
      <xdr:row>12</xdr:row>
      <xdr:rowOff>225</xdr:rowOff>
    </xdr:to>
    <xdr:sp macro="" textlink="">
      <xdr:nvSpPr>
        <xdr:cNvPr id="25" name="TextovéPole 24"/>
        <xdr:cNvSpPr txBox="1"/>
      </xdr:nvSpPr>
      <xdr:spPr>
        <a:xfrm rot="1200000">
          <a:off x="12061262" y="2784171"/>
          <a:ext cx="423719" cy="283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15</xdr:col>
      <xdr:colOff>670313</xdr:colOff>
      <xdr:row>11</xdr:row>
      <xdr:rowOff>12735</xdr:rowOff>
    </xdr:from>
    <xdr:to>
      <xdr:col>16</xdr:col>
      <xdr:colOff>392580</xdr:colOff>
      <xdr:row>11</xdr:row>
      <xdr:rowOff>304369</xdr:rowOff>
    </xdr:to>
    <xdr:sp macro="" textlink="">
      <xdr:nvSpPr>
        <xdr:cNvPr id="26" name="TextovéPole 25"/>
        <xdr:cNvSpPr txBox="1"/>
      </xdr:nvSpPr>
      <xdr:spPr>
        <a:xfrm rot="1200000">
          <a:off x="11100188" y="2727360"/>
          <a:ext cx="427117" cy="291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16</xdr:col>
      <xdr:colOff>438036</xdr:colOff>
      <xdr:row>12</xdr:row>
      <xdr:rowOff>99829</xdr:rowOff>
    </xdr:from>
    <xdr:to>
      <xdr:col>17</xdr:col>
      <xdr:colOff>267348</xdr:colOff>
      <xdr:row>14</xdr:row>
      <xdr:rowOff>108244</xdr:rowOff>
    </xdr:to>
    <xdr:sp macro="" textlink="">
      <xdr:nvSpPr>
        <xdr:cNvPr id="27" name="TextovéPole 26"/>
        <xdr:cNvSpPr txBox="1"/>
      </xdr:nvSpPr>
      <xdr:spPr>
        <a:xfrm rot="1200000">
          <a:off x="11572761" y="3166879"/>
          <a:ext cx="438912" cy="456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>
    <xdr:from>
      <xdr:col>3</xdr:col>
      <xdr:colOff>53788</xdr:colOff>
      <xdr:row>40</xdr:row>
      <xdr:rowOff>184488</xdr:rowOff>
    </xdr:from>
    <xdr:to>
      <xdr:col>4</xdr:col>
      <xdr:colOff>535363</xdr:colOff>
      <xdr:row>42</xdr:row>
      <xdr:rowOff>63230</xdr:rowOff>
    </xdr:to>
    <xdr:sp macro="" textlink="">
      <xdr:nvSpPr>
        <xdr:cNvPr id="28" name="TextovéPole 27"/>
        <xdr:cNvSpPr txBox="1"/>
      </xdr:nvSpPr>
      <xdr:spPr>
        <a:xfrm>
          <a:off x="1844488" y="9814263"/>
          <a:ext cx="957825" cy="278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twoCellAnchor>
  <xdr:twoCellAnchor>
    <xdr:from>
      <xdr:col>4</xdr:col>
      <xdr:colOff>114430</xdr:colOff>
      <xdr:row>31</xdr:row>
      <xdr:rowOff>63838</xdr:rowOff>
    </xdr:from>
    <xdr:to>
      <xdr:col>4</xdr:col>
      <xdr:colOff>561570</xdr:colOff>
      <xdr:row>32</xdr:row>
      <xdr:rowOff>151919</xdr:rowOff>
    </xdr:to>
    <xdr:sp macro="" textlink="">
      <xdr:nvSpPr>
        <xdr:cNvPr id="29" name="TextovéPole 28"/>
        <xdr:cNvSpPr txBox="1"/>
      </xdr:nvSpPr>
      <xdr:spPr>
        <a:xfrm>
          <a:off x="2381380" y="7788613"/>
          <a:ext cx="447140" cy="288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 editAs="oneCell">
    <xdr:from>
      <xdr:col>1</xdr:col>
      <xdr:colOff>600075</xdr:colOff>
      <xdr:row>36</xdr:row>
      <xdr:rowOff>57150</xdr:rowOff>
    </xdr:from>
    <xdr:to>
      <xdr:col>7</xdr:col>
      <xdr:colOff>238125</xdr:colOff>
      <xdr:row>43</xdr:row>
      <xdr:rowOff>38100</xdr:rowOff>
    </xdr:to>
    <xdr:pic>
      <xdr:nvPicPr>
        <xdr:cNvPr id="30" name="Picture 542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791575"/>
          <a:ext cx="35528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68</xdr:row>
          <xdr:rowOff>0</xdr:rowOff>
        </xdr:from>
        <xdr:to>
          <xdr:col>29</xdr:col>
          <xdr:colOff>0</xdr:colOff>
          <xdr:row>68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</xdr:row>
      <xdr:rowOff>161925</xdr:rowOff>
    </xdr:from>
    <xdr:to>
      <xdr:col>7</xdr:col>
      <xdr:colOff>457200</xdr:colOff>
      <xdr:row>28</xdr:row>
      <xdr:rowOff>76200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42925"/>
          <a:ext cx="4362450" cy="486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161925</xdr:rowOff>
    </xdr:from>
    <xdr:to>
      <xdr:col>8</xdr:col>
      <xdr:colOff>200025</xdr:colOff>
      <xdr:row>28</xdr:row>
      <xdr:rowOff>9525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61925"/>
          <a:ext cx="4724400" cy="518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BX446"/>
  <sheetViews>
    <sheetView showGridLines="0" tabSelected="1" zoomScale="70" zoomScaleNormal="70" zoomScaleSheetLayoutView="40" workbookViewId="0">
      <selection activeCell="K11" sqref="K11:M11"/>
    </sheetView>
  </sheetViews>
  <sheetFormatPr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3" max="13" width="3.42578125" customWidth="1"/>
    <col min="14" max="14" width="14.28515625" customWidth="1"/>
    <col min="15" max="15" width="13.7109375" customWidth="1"/>
    <col min="16" max="16" width="10.5703125" customWidth="1"/>
    <col min="18" max="18" width="9.1406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22.1406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70.28515625" hidden="1" customWidth="1"/>
    <col min="39" max="39" width="57.5703125" hidden="1" customWidth="1"/>
    <col min="40" max="40" width="61.42578125" hidden="1" customWidth="1"/>
    <col min="41" max="41" width="61.85546875" hidden="1" customWidth="1"/>
    <col min="42" max="42" width="99.7109375" hidden="1" customWidth="1"/>
    <col min="43" max="52" width="9.140625" hidden="1" customWidth="1"/>
    <col min="53" max="75" width="9.140625" customWidth="1"/>
  </cols>
  <sheetData>
    <row r="1" spans="1:73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5" t="s">
        <v>8</v>
      </c>
      <c r="AO1" s="5" t="s">
        <v>9</v>
      </c>
      <c r="AP1" s="5" t="s">
        <v>10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9.5" customHeight="1" thickBot="1" x14ac:dyDescent="0.3">
      <c r="A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 t="str">
        <f>VLOOKUP(AG12,AG2:AR97,$AE$1+1,FALSE)</f>
        <v>STANDARDNÍ VEDENÍ POD ÚHLEM (FSL350)</v>
      </c>
      <c r="Y2" s="9"/>
      <c r="Z2" s="9"/>
      <c r="AA2" s="9"/>
      <c r="AB2" s="10"/>
      <c r="AD2" s="11" t="s">
        <v>11</v>
      </c>
      <c r="AE2" s="12" t="s">
        <v>12</v>
      </c>
      <c r="AF2" s="13"/>
      <c r="AG2" t="str">
        <f>VLOOKUP(AH2,AH2:AR97,$AE$1,FALSE)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73" ht="19.5" customHeight="1" thickBot="1" x14ac:dyDescent="0.35">
      <c r="A3" s="6"/>
      <c r="B3" s="14" t="s">
        <v>22</v>
      </c>
      <c r="C3" s="15"/>
      <c r="D3" s="16"/>
      <c r="E3" s="7"/>
      <c r="F3" s="7"/>
      <c r="G3" s="7"/>
      <c r="I3" s="17" t="str">
        <f>VLOOKUP(AG3,AG2:AR97,$AE$1+1,FALSE)</f>
        <v>Šířka otvoru</v>
      </c>
      <c r="K3" s="18"/>
      <c r="L3" s="7" t="s">
        <v>23</v>
      </c>
      <c r="M3" s="7"/>
      <c r="T3" s="7"/>
      <c r="U3" s="7"/>
      <c r="V3" s="7"/>
      <c r="W3" s="7"/>
      <c r="X3" s="19"/>
      <c r="Y3" s="19"/>
      <c r="Z3" s="19"/>
      <c r="AA3" s="19"/>
      <c r="AB3" s="20"/>
      <c r="AD3" s="21" t="s">
        <v>2</v>
      </c>
      <c r="AE3" s="22">
        <v>1</v>
      </c>
      <c r="AF3" s="4"/>
      <c r="AG3" t="str">
        <f>VLOOKUP(AH3,AH3:AR97,$AE$1,FALSE)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73" ht="19.5" thickBot="1" x14ac:dyDescent="0.35">
      <c r="A4" s="6"/>
      <c r="B4" s="15" t="s">
        <v>14</v>
      </c>
      <c r="C4" s="15"/>
      <c r="D4" s="16"/>
      <c r="F4" s="7"/>
      <c r="G4" s="7"/>
      <c r="I4" s="17"/>
      <c r="J4" s="23"/>
      <c r="K4" s="7"/>
      <c r="L4" s="7"/>
      <c r="M4" s="7"/>
      <c r="R4" s="7"/>
      <c r="S4" s="7"/>
      <c r="T4" s="7"/>
      <c r="X4" s="24" t="s">
        <v>33</v>
      </c>
      <c r="Y4" s="24"/>
      <c r="Z4" s="24"/>
      <c r="AA4" s="24"/>
      <c r="AB4" s="25"/>
      <c r="AD4" s="21" t="s">
        <v>3</v>
      </c>
      <c r="AE4" s="22">
        <v>2</v>
      </c>
      <c r="AF4" s="4"/>
      <c r="AG4" t="str">
        <f>VLOOKUP(AH4,AH4:AR98,$AE$1,FALSE)</f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73" ht="19.5" customHeight="1" thickBot="1" x14ac:dyDescent="0.35">
      <c r="A5" s="6"/>
      <c r="B5" s="26" t="s">
        <v>43</v>
      </c>
      <c r="C5" s="15"/>
      <c r="D5" s="27"/>
      <c r="E5" s="18" t="s">
        <v>2</v>
      </c>
      <c r="F5" s="7"/>
      <c r="G5" s="7"/>
      <c r="I5" s="17" t="str">
        <f>VLOOKUP(AG4,AG2:AR97,$AE$1+1,FALSE)</f>
        <v>Výška otvoru</v>
      </c>
      <c r="K5" s="18"/>
      <c r="L5" s="7" t="s">
        <v>23</v>
      </c>
      <c r="M5" s="7"/>
      <c r="O5" s="28" t="str">
        <f>VLOOKUP(AH100,AH100:AR176,$AE$1,FALSE)</f>
        <v>Prosím, vyplňte pole, která jsou označena barevně!</v>
      </c>
      <c r="P5" s="7"/>
      <c r="Q5" s="7"/>
      <c r="R5" s="7"/>
      <c r="S5" s="7"/>
      <c r="T5" s="7"/>
      <c r="X5" s="29"/>
      <c r="Y5" s="29"/>
      <c r="Z5" s="29"/>
      <c r="AA5" s="7"/>
      <c r="AB5" s="6"/>
      <c r="AD5" s="21" t="s">
        <v>4</v>
      </c>
      <c r="AE5" s="22">
        <v>3</v>
      </c>
      <c r="AF5" s="4"/>
      <c r="AG5" t="str">
        <f>VLOOKUP(AH5,AH5:AR97,$AE$1,FALSE)</f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</row>
    <row r="6" spans="1:73" ht="23.25" customHeight="1" thickBot="1" x14ac:dyDescent="0.35">
      <c r="A6" s="6"/>
      <c r="B6" s="26" t="s">
        <v>53</v>
      </c>
      <c r="C6" s="15"/>
      <c r="D6" s="27"/>
      <c r="E6" s="7"/>
      <c r="F6" s="7"/>
      <c r="I6" s="17"/>
      <c r="J6" s="23"/>
      <c r="K6" s="7"/>
      <c r="L6" s="7"/>
      <c r="M6" s="7"/>
      <c r="N6" s="7"/>
      <c r="O6" s="7"/>
      <c r="P6" s="7"/>
      <c r="Q6" s="7"/>
      <c r="R6" s="7"/>
      <c r="S6" s="7"/>
      <c r="T6" s="7"/>
      <c r="X6" s="29"/>
      <c r="Y6" s="29"/>
      <c r="Z6" s="29"/>
      <c r="AA6" s="7"/>
      <c r="AB6" s="6"/>
      <c r="AD6" s="21" t="s">
        <v>5</v>
      </c>
      <c r="AE6" s="22">
        <v>4</v>
      </c>
      <c r="AF6" s="4"/>
      <c r="AG6" t="str">
        <f>VLOOKUP(AH6,AH6:AR101,$AE$1,FALSE)</f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t="s">
        <v>59</v>
      </c>
      <c r="AN6" t="s">
        <v>60</v>
      </c>
      <c r="AO6" t="s">
        <v>61</v>
      </c>
      <c r="AP6" t="s">
        <v>62</v>
      </c>
    </row>
    <row r="7" spans="1:73" ht="19.5" thickBot="1" x14ac:dyDescent="0.35">
      <c r="A7" s="6"/>
      <c r="B7" s="26" t="s">
        <v>63</v>
      </c>
      <c r="C7" s="26"/>
      <c r="D7" s="7"/>
      <c r="E7" s="7"/>
      <c r="I7" s="30" t="str">
        <f>VLOOKUP(AG102,AG8:AR102,$AE$1+1,FALSE)</f>
        <v>Ovládání</v>
      </c>
      <c r="J7" s="7"/>
      <c r="K7" s="31"/>
      <c r="L7" s="31"/>
      <c r="M7" s="31"/>
      <c r="N7" s="7"/>
      <c r="O7" s="32" t="str">
        <f>IF(OR(K7=AG103,K7=""),"",VLOOKUP(AG107,AG8:AL107,$AE$1+1,FALSE))</f>
        <v/>
      </c>
      <c r="P7" s="32"/>
      <c r="Q7" s="7"/>
      <c r="R7" s="31" t="s">
        <v>64</v>
      </c>
      <c r="S7" s="31"/>
      <c r="T7" s="7"/>
      <c r="X7" s="29"/>
      <c r="Y7" s="29"/>
      <c r="Z7" s="29"/>
      <c r="AA7" s="7"/>
      <c r="AB7" s="6"/>
      <c r="AD7" s="33" t="s">
        <v>6</v>
      </c>
      <c r="AE7" s="34">
        <v>5</v>
      </c>
      <c r="AF7" s="23"/>
      <c r="AG7" t="str">
        <f>VLOOKUP(AH7,AH7:AR101,$AE$1,FALSE)</f>
        <v>ŘEZ B-B</v>
      </c>
      <c r="AH7" t="s">
        <v>65</v>
      </c>
      <c r="AI7" t="s">
        <v>66</v>
      </c>
      <c r="AJ7" t="s">
        <v>67</v>
      </c>
      <c r="AK7" t="s">
        <v>68</v>
      </c>
      <c r="AL7" t="s">
        <v>69</v>
      </c>
      <c r="AM7" t="s">
        <v>70</v>
      </c>
      <c r="AN7" t="s">
        <v>71</v>
      </c>
      <c r="AO7" t="s">
        <v>72</v>
      </c>
      <c r="AP7" t="s">
        <v>73</v>
      </c>
    </row>
    <row r="8" spans="1:73" ht="19.5" thickBot="1" x14ac:dyDescent="0.35">
      <c r="A8" s="6"/>
      <c r="B8" s="26" t="s">
        <v>19</v>
      </c>
      <c r="C8" s="26"/>
      <c r="D8" s="28"/>
      <c r="E8" s="28"/>
      <c r="F8" s="28"/>
      <c r="G8" s="35"/>
      <c r="I8" s="36"/>
      <c r="L8" s="7"/>
      <c r="M8" s="7"/>
      <c r="P8" s="7"/>
      <c r="Q8" s="7"/>
      <c r="R8" s="7"/>
      <c r="T8" s="7"/>
      <c r="X8" s="29"/>
      <c r="Y8" s="29"/>
      <c r="Z8" s="29"/>
      <c r="AA8" s="7"/>
      <c r="AB8" s="6"/>
      <c r="AD8" s="33" t="s">
        <v>7</v>
      </c>
      <c r="AE8" s="37">
        <v>6</v>
      </c>
      <c r="AG8" t="str">
        <f>VLOOKUP(AH8,AH8:AR102,$AE$1,FALSE)</f>
        <v>POZNÁMKA:</v>
      </c>
      <c r="AH8" t="s">
        <v>74</v>
      </c>
      <c r="AI8" t="s">
        <v>75</v>
      </c>
      <c r="AJ8" t="s">
        <v>76</v>
      </c>
      <c r="AK8" t="s">
        <v>77</v>
      </c>
      <c r="AL8" t="s">
        <v>78</v>
      </c>
      <c r="AM8" t="s">
        <v>79</v>
      </c>
      <c r="AN8" t="s">
        <v>80</v>
      </c>
      <c r="AO8" t="s">
        <v>81</v>
      </c>
      <c r="AP8" t="s">
        <v>82</v>
      </c>
    </row>
    <row r="9" spans="1:73" ht="19.5" thickBot="1" x14ac:dyDescent="0.35">
      <c r="A9" s="6"/>
      <c r="B9" s="26" t="s">
        <v>20</v>
      </c>
      <c r="C9" s="26"/>
      <c r="D9" s="7"/>
      <c r="E9" s="7"/>
      <c r="F9" s="7"/>
      <c r="G9" s="7"/>
      <c r="I9" s="36" t="str">
        <f>AG118</f>
        <v>Typ panelu</v>
      </c>
      <c r="K9" s="38"/>
      <c r="L9" s="38"/>
      <c r="M9" s="38"/>
      <c r="N9" s="7"/>
      <c r="T9" s="39"/>
      <c r="U9" s="7"/>
      <c r="V9" s="7"/>
      <c r="W9" s="7"/>
      <c r="AA9" s="7"/>
      <c r="AB9" s="6"/>
      <c r="AD9" s="33" t="s">
        <v>8</v>
      </c>
      <c r="AE9" s="37">
        <v>7</v>
      </c>
    </row>
    <row r="10" spans="1:73" ht="19.5" thickBot="1" x14ac:dyDescent="0.35">
      <c r="A10" s="6"/>
      <c r="B10" s="26" t="s">
        <v>21</v>
      </c>
      <c r="C10" s="26"/>
      <c r="D10" s="7"/>
      <c r="E10" s="7"/>
      <c r="F10" s="7"/>
      <c r="G10" s="7"/>
      <c r="I10" s="30"/>
      <c r="J10" s="7"/>
      <c r="K10" s="40"/>
      <c r="L10" s="40"/>
      <c r="M10" s="40"/>
      <c r="N10" s="27"/>
      <c r="O10" s="41"/>
      <c r="P10" s="41"/>
      <c r="Q10" s="42" t="str">
        <f>VLOOKUP(AG6,AG2:AR97,$AE$1+1,FALSE)</f>
        <v>ŘEZ A-A</v>
      </c>
      <c r="R10" s="40"/>
      <c r="S10" s="40"/>
      <c r="T10" s="39"/>
      <c r="U10" s="7"/>
      <c r="V10" s="7"/>
      <c r="W10" s="7"/>
      <c r="X10" s="7"/>
      <c r="Z10" s="7"/>
      <c r="AA10" s="7"/>
      <c r="AB10" s="6"/>
      <c r="AD10" s="33" t="s">
        <v>9</v>
      </c>
      <c r="AE10" s="37">
        <v>8</v>
      </c>
    </row>
    <row r="11" spans="1:73" ht="18.75" customHeight="1" thickBot="1" x14ac:dyDescent="0.35">
      <c r="B11" s="43"/>
      <c r="C11" s="7"/>
      <c r="D11" s="44" t="str">
        <f>VLOOKUP(AG5,AG2:AR97,$AE$1+1,FALSE)</f>
        <v>POHLED ZEVNITŘ</v>
      </c>
      <c r="E11" s="44"/>
      <c r="F11" s="44"/>
      <c r="G11" s="7"/>
      <c r="I11" s="42" t="str">
        <f>AG128</f>
        <v>Úhel</v>
      </c>
      <c r="J11" s="7"/>
      <c r="K11" s="45"/>
      <c r="L11" s="45"/>
      <c r="M11" s="45"/>
      <c r="N11" s="7"/>
      <c r="O11" s="46"/>
      <c r="P11" s="46"/>
      <c r="Q11" s="47"/>
      <c r="R11" s="48"/>
      <c r="S11" s="49"/>
      <c r="T11" s="39"/>
      <c r="U11" s="7"/>
      <c r="V11" s="7"/>
      <c r="W11" s="7"/>
      <c r="X11" s="7"/>
      <c r="Z11" s="7"/>
      <c r="AA11" s="7"/>
      <c r="AB11" s="6"/>
      <c r="AD11" s="33" t="s">
        <v>10</v>
      </c>
      <c r="AE11" s="37">
        <v>9</v>
      </c>
    </row>
    <row r="12" spans="1:73" ht="27.75" customHeight="1" x14ac:dyDescent="0.25">
      <c r="B12" s="50"/>
      <c r="C12" s="51"/>
      <c r="F12" s="52"/>
      <c r="G12" s="51"/>
      <c r="H12" s="51"/>
      <c r="J12" s="7"/>
      <c r="K12" s="7"/>
      <c r="L12" s="7"/>
      <c r="M12" s="7"/>
      <c r="N12" s="7"/>
      <c r="O12" s="7"/>
      <c r="P12" s="53"/>
      <c r="Q12" s="54">
        <f>K5</f>
        <v>0</v>
      </c>
      <c r="R12" s="55"/>
      <c r="S12" s="56">
        <f>IF(K7=AG103,K5+490,K5+660)</f>
        <v>660</v>
      </c>
      <c r="T12" s="7"/>
      <c r="U12" s="7"/>
      <c r="V12" s="7"/>
      <c r="W12" s="7"/>
      <c r="X12" s="7"/>
      <c r="Y12" s="7"/>
      <c r="Z12" s="7"/>
      <c r="AA12" s="7"/>
      <c r="AB12" s="6"/>
      <c r="AG12" s="16" t="str">
        <f>VLOOKUP(AH12,AH12:AR106,$AE$1,FALSE)</f>
        <v>STANDARDNÍ VEDENÍ POD ÚHLEM (FSL350)</v>
      </c>
      <c r="AH12" s="16" t="s">
        <v>83</v>
      </c>
      <c r="AI12" s="16" t="s">
        <v>84</v>
      </c>
      <c r="AJ12" s="16" t="s">
        <v>85</v>
      </c>
      <c r="AK12" s="16" t="s">
        <v>86</v>
      </c>
      <c r="AL12" s="16" t="s">
        <v>87</v>
      </c>
      <c r="AM12" s="16" t="s">
        <v>88</v>
      </c>
      <c r="AN12" s="16" t="s">
        <v>89</v>
      </c>
      <c r="AO12" s="16" t="s">
        <v>90</v>
      </c>
      <c r="AP12" s="16" t="s">
        <v>91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5" customHeight="1" x14ac:dyDescent="0.25">
      <c r="B13" s="43"/>
      <c r="D13" s="7"/>
      <c r="E13" s="7"/>
      <c r="F13" s="7"/>
      <c r="N13" s="7"/>
      <c r="O13" s="7"/>
      <c r="P13" s="16"/>
      <c r="Q13" s="57"/>
      <c r="R13" s="58">
        <f>IF(S12&lt;3000,0,IF(AND(S12&gt;=3000,S12&lt;4500),K5/2,(K5/3*2)))</f>
        <v>0</v>
      </c>
      <c r="S13" s="56"/>
      <c r="T13" s="7"/>
      <c r="U13" s="7"/>
      <c r="V13" s="7"/>
      <c r="W13" s="7"/>
      <c r="X13" s="7"/>
      <c r="Y13" s="7"/>
      <c r="Z13" s="7"/>
      <c r="AA13" s="7"/>
      <c r="AB13" s="6"/>
      <c r="AG13" t="str">
        <f>VLOOKUP(AH13,AH13:AR107,$AE$1,FALSE)</f>
        <v>LANKA UVNITŘ</v>
      </c>
      <c r="AH13" t="s">
        <v>92</v>
      </c>
      <c r="AI13" t="s">
        <v>93</v>
      </c>
      <c r="AJ13" t="s">
        <v>94</v>
      </c>
      <c r="AK13" t="s">
        <v>95</v>
      </c>
      <c r="AL13" t="s">
        <v>96</v>
      </c>
      <c r="AM13" t="s">
        <v>97</v>
      </c>
      <c r="AN13" t="s">
        <v>98</v>
      </c>
      <c r="AO13" t="s">
        <v>99</v>
      </c>
      <c r="AP13" t="s">
        <v>100</v>
      </c>
    </row>
    <row r="14" spans="1:73" ht="20.25" customHeight="1" x14ac:dyDescent="0.25">
      <c r="B14" s="4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7"/>
      <c r="Q14" s="57"/>
      <c r="R14" s="58"/>
      <c r="S14" s="7"/>
      <c r="T14" s="7"/>
      <c r="U14" s="7"/>
      <c r="V14" s="7"/>
      <c r="W14" s="7"/>
      <c r="X14" s="7"/>
      <c r="Y14" s="7"/>
      <c r="Z14" s="7"/>
      <c r="AA14" s="7"/>
      <c r="AB14" s="6"/>
      <c r="AG14" t="str">
        <f>VLOOKUP(AH14,AH14:AR108,$AE$1,FALSE)</f>
        <v>pro HL&gt;600 a HL&lt;=1200</v>
      </c>
      <c r="AH14" t="s">
        <v>101</v>
      </c>
      <c r="AI14" t="s">
        <v>102</v>
      </c>
      <c r="AJ14" t="s">
        <v>103</v>
      </c>
      <c r="AK14" t="s">
        <v>104</v>
      </c>
      <c r="AL14" t="s">
        <v>105</v>
      </c>
      <c r="AM14" t="s">
        <v>106</v>
      </c>
      <c r="AN14" t="s">
        <v>107</v>
      </c>
      <c r="AO14" t="s">
        <v>108</v>
      </c>
      <c r="AP14" t="s">
        <v>109</v>
      </c>
    </row>
    <row r="15" spans="1:73" ht="15" customHeight="1" x14ac:dyDescent="0.25">
      <c r="B15" s="43"/>
      <c r="C15" s="59"/>
      <c r="D15" s="7"/>
      <c r="E15" s="7"/>
      <c r="F15" s="7"/>
      <c r="G15" s="7"/>
      <c r="H15" s="60"/>
      <c r="I15" s="61"/>
      <c r="J15" s="7"/>
      <c r="K15" s="62"/>
      <c r="L15" s="7"/>
      <c r="M15" s="7"/>
      <c r="N15" s="7"/>
      <c r="O15" s="7"/>
      <c r="P15" s="27"/>
      <c r="Q15" s="63"/>
      <c r="R15" s="64"/>
      <c r="S15" s="65"/>
      <c r="T15" s="7"/>
      <c r="U15" s="7"/>
      <c r="V15" s="7"/>
      <c r="W15" s="7"/>
      <c r="X15" s="7"/>
      <c r="Y15" s="7"/>
      <c r="Z15" s="7"/>
      <c r="AA15" s="7"/>
      <c r="AB15" s="6"/>
      <c r="AG15" t="str">
        <f>VLOOKUP(AH15,AH15:AR109,$AE$1,FALSE)</f>
        <v>PANEL 40mm</v>
      </c>
      <c r="AH15" t="s">
        <v>110</v>
      </c>
      <c r="AI15" t="s">
        <v>111</v>
      </c>
      <c r="AJ15" t="s">
        <v>112</v>
      </c>
      <c r="AK15" t="s">
        <v>113</v>
      </c>
      <c r="AL15" t="s">
        <v>114</v>
      </c>
      <c r="AM15" t="s">
        <v>115</v>
      </c>
      <c r="AN15" t="s">
        <v>112</v>
      </c>
      <c r="AO15" t="s">
        <v>116</v>
      </c>
      <c r="AP15" t="s">
        <v>117</v>
      </c>
    </row>
    <row r="16" spans="1:73" ht="15" customHeight="1" x14ac:dyDescent="0.25">
      <c r="B16" s="43"/>
      <c r="C16" s="59"/>
      <c r="D16" s="7"/>
      <c r="E16" s="7"/>
      <c r="F16" s="7"/>
      <c r="G16" s="7"/>
      <c r="H16" s="60"/>
      <c r="I16" s="61"/>
      <c r="J16" s="7"/>
      <c r="K16" s="62"/>
      <c r="L16" s="7"/>
      <c r="M16" s="7"/>
      <c r="N16" s="7"/>
      <c r="O16" s="7"/>
      <c r="P16" s="27"/>
      <c r="R16" s="64"/>
      <c r="S16" s="65"/>
      <c r="T16" s="7"/>
      <c r="U16" s="7"/>
      <c r="V16" s="7"/>
      <c r="W16" s="7"/>
      <c r="X16" s="7"/>
      <c r="Y16" s="7"/>
      <c r="Z16" s="7"/>
      <c r="AA16" s="7"/>
      <c r="AB16" s="6"/>
      <c r="AG16" t="str">
        <f>VLOOKUP(AH16,AH16:AR110,$AE$1,FALSE)</f>
        <v>Max. W x H 4000x4000</v>
      </c>
      <c r="AH16" t="s">
        <v>118</v>
      </c>
      <c r="AI16" t="s">
        <v>118</v>
      </c>
      <c r="AJ16" t="s">
        <v>118</v>
      </c>
      <c r="AK16" t="s">
        <v>118</v>
      </c>
      <c r="AL16" t="s">
        <v>118</v>
      </c>
      <c r="AM16" t="s">
        <v>118</v>
      </c>
      <c r="AN16" t="s">
        <v>118</v>
      </c>
      <c r="AO16" t="s">
        <v>118</v>
      </c>
      <c r="AP16" t="s">
        <v>119</v>
      </c>
    </row>
    <row r="17" spans="1:42" ht="15" customHeight="1" x14ac:dyDescent="0.25">
      <c r="A17" s="6"/>
      <c r="B17" s="66" t="str">
        <f>"A= "&amp;P60</f>
        <v>A= 255</v>
      </c>
      <c r="C17" s="59"/>
      <c r="D17" s="7"/>
      <c r="E17" s="7"/>
      <c r="F17" s="7"/>
      <c r="G17" s="7"/>
      <c r="H17" s="60"/>
      <c r="I17" s="61"/>
      <c r="J17" s="7"/>
      <c r="K17" s="7"/>
      <c r="L17" s="7"/>
      <c r="M17" s="7"/>
      <c r="N17" s="7"/>
      <c r="O17" s="7"/>
      <c r="P17" s="27"/>
      <c r="Q17" s="27"/>
      <c r="R17" s="67"/>
      <c r="S17" s="65"/>
      <c r="T17" s="68" t="str">
        <f>"F="&amp;P55</f>
        <v>F=350</v>
      </c>
      <c r="U17" s="7"/>
      <c r="V17" s="7"/>
      <c r="W17" s="7"/>
      <c r="X17" s="7"/>
      <c r="Y17" s="7"/>
      <c r="Z17" s="7"/>
      <c r="AA17" s="7"/>
      <c r="AB17" s="6"/>
    </row>
    <row r="18" spans="1:42" ht="15" customHeight="1" x14ac:dyDescent="0.25">
      <c r="A18" s="6"/>
      <c r="B18" s="66"/>
      <c r="C18" s="7"/>
      <c r="D18" s="7"/>
      <c r="E18" s="7"/>
      <c r="F18" s="7"/>
      <c r="G18" s="7"/>
      <c r="H18" s="60"/>
      <c r="I18" s="61"/>
      <c r="J18" s="7"/>
      <c r="K18" s="7"/>
      <c r="L18" s="7"/>
      <c r="M18" s="7"/>
      <c r="N18" s="7"/>
      <c r="O18" s="7"/>
      <c r="P18" s="27"/>
      <c r="Q18" s="27"/>
      <c r="R18" s="67"/>
      <c r="S18" s="69"/>
      <c r="T18" s="68"/>
      <c r="U18" s="7"/>
      <c r="V18" s="7"/>
      <c r="W18" s="7"/>
      <c r="X18" s="7"/>
      <c r="Y18" s="7"/>
      <c r="Z18" s="7"/>
      <c r="AA18" s="7"/>
      <c r="AB18" s="6"/>
    </row>
    <row r="19" spans="1:42" ht="29.25" customHeight="1" x14ac:dyDescent="0.25">
      <c r="A19" s="6"/>
      <c r="B19" s="66"/>
      <c r="C19" s="70"/>
      <c r="D19" s="7"/>
      <c r="E19" s="7"/>
      <c r="F19" s="7"/>
      <c r="G19" s="7"/>
      <c r="H19" s="27"/>
      <c r="I19" s="27"/>
      <c r="J19" s="7"/>
      <c r="K19" s="7"/>
      <c r="L19" s="7"/>
      <c r="M19" s="27"/>
      <c r="N19" s="27"/>
      <c r="O19" s="27"/>
      <c r="P19" s="71"/>
      <c r="Q19" s="7"/>
      <c r="R19" s="7"/>
      <c r="S19" s="72" t="str">
        <f>"    A= "&amp;P60</f>
        <v xml:space="preserve">    A= 255</v>
      </c>
      <c r="T19" s="68"/>
      <c r="V19" s="7"/>
      <c r="W19" s="7"/>
      <c r="X19" s="7"/>
      <c r="Y19" s="7"/>
      <c r="Z19" s="7"/>
      <c r="AA19" s="7"/>
      <c r="AB19" s="6"/>
    </row>
    <row r="20" spans="1:42" ht="54" customHeight="1" x14ac:dyDescent="0.25">
      <c r="A20" s="6"/>
      <c r="B20" s="73"/>
      <c r="C20" s="70"/>
      <c r="D20" s="7"/>
      <c r="E20" s="7"/>
      <c r="F20" s="7"/>
      <c r="G20" s="7"/>
      <c r="H20" s="69"/>
      <c r="I20" s="74" t="str">
        <f>AG116</f>
        <v>Montážní plocha pro motor</v>
      </c>
      <c r="J20" s="7"/>
      <c r="K20" s="7"/>
      <c r="L20" s="7"/>
      <c r="M20" s="27"/>
      <c r="N20" s="27"/>
      <c r="O20" s="27"/>
      <c r="P20" s="7"/>
      <c r="Q20" s="7"/>
      <c r="R20" s="7"/>
      <c r="S20" s="72"/>
      <c r="T20" s="68"/>
      <c r="U20" s="73"/>
      <c r="V20" s="7"/>
      <c r="W20" s="7"/>
      <c r="X20" s="7"/>
      <c r="Y20" s="7"/>
      <c r="Z20" s="7"/>
      <c r="AA20" s="7"/>
      <c r="AB20" s="6"/>
      <c r="AG20" t="str">
        <f>VLOOKUP(AH20,AH20:AR114,$AE$1,FALSE)</f>
        <v>Montáž na cihlové zdivo</v>
      </c>
      <c r="AH20" t="s">
        <v>120</v>
      </c>
      <c r="AI20" t="s">
        <v>121</v>
      </c>
      <c r="AJ20" t="s">
        <v>122</v>
      </c>
      <c r="AK20" t="s">
        <v>123</v>
      </c>
      <c r="AL20" t="s">
        <v>124</v>
      </c>
      <c r="AM20" t="s">
        <v>125</v>
      </c>
      <c r="AN20" t="s">
        <v>126</v>
      </c>
      <c r="AO20" t="s">
        <v>127</v>
      </c>
      <c r="AP20" t="s">
        <v>128</v>
      </c>
    </row>
    <row r="21" spans="1:42" ht="15.75" customHeight="1" x14ac:dyDescent="0.25">
      <c r="B21" s="75" t="str">
        <f>"H= "&amp;K5</f>
        <v xml:space="preserve">H= </v>
      </c>
      <c r="C21" s="7"/>
      <c r="D21" s="7"/>
      <c r="E21" s="7"/>
      <c r="F21" s="7"/>
      <c r="G21" s="7"/>
      <c r="H21" s="6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6" t="str">
        <f>"H= "&amp;K5</f>
        <v xml:space="preserve">H= </v>
      </c>
      <c r="U21" s="76"/>
      <c r="X21" s="7"/>
      <c r="Y21" s="29" t="str">
        <f>VLOOKUP(AG20,AG2:AR97,$AE$1+1,FALSE)</f>
        <v>Montáž na cihlové zdivo</v>
      </c>
      <c r="Z21" s="29"/>
      <c r="AA21" s="7"/>
      <c r="AB21" s="6"/>
      <c r="AG21" t="str">
        <f>VLOOKUP(AH21,AH21:AR115,$AE$1,FALSE)</f>
        <v>Montáž na porobeton</v>
      </c>
      <c r="AH21" t="s">
        <v>129</v>
      </c>
      <c r="AI21" t="s">
        <v>130</v>
      </c>
      <c r="AJ21" t="s">
        <v>131</v>
      </c>
      <c r="AK21" t="s">
        <v>132</v>
      </c>
      <c r="AL21" t="s">
        <v>133</v>
      </c>
      <c r="AM21" t="s">
        <v>134</v>
      </c>
      <c r="AN21" t="s">
        <v>135</v>
      </c>
      <c r="AO21" t="s">
        <v>136</v>
      </c>
      <c r="AP21" t="s">
        <v>137</v>
      </c>
    </row>
    <row r="22" spans="1:42" ht="15.75" x14ac:dyDescent="0.25">
      <c r="B22" s="75"/>
      <c r="C22" s="7"/>
      <c r="D22" s="7"/>
      <c r="E22" s="7"/>
      <c r="F22" s="7"/>
      <c r="G22" s="7"/>
      <c r="H22" s="7"/>
      <c r="I22" s="29" t="str">
        <f>VLOOKUP(AG48,AG2:AR97,$AE$1+1,FALSE)</f>
        <v>nezbytný boční prostor pro motor nebo řetězový pohon ( L nebo R )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6"/>
      <c r="U22" s="76"/>
      <c r="X22" s="7"/>
      <c r="Y22" s="29"/>
      <c r="Z22" s="29"/>
      <c r="AA22" s="7"/>
      <c r="AB22" s="6"/>
      <c r="AG22" t="str">
        <f>VLOOKUP(AH22,AH22:AR116,$AE$1,FALSE)</f>
        <v>Montáž na opláštění</v>
      </c>
      <c r="AH22" t="s">
        <v>138</v>
      </c>
      <c r="AI22" t="s">
        <v>139</v>
      </c>
      <c r="AJ22" t="s">
        <v>140</v>
      </c>
      <c r="AK22" t="s">
        <v>141</v>
      </c>
      <c r="AL22" t="s">
        <v>142</v>
      </c>
      <c r="AM22" t="s">
        <v>143</v>
      </c>
      <c r="AN22" t="s">
        <v>144</v>
      </c>
      <c r="AO22" t="s">
        <v>145</v>
      </c>
      <c r="AP22" t="s">
        <v>146</v>
      </c>
    </row>
    <row r="23" spans="1:42" ht="15.75" customHeight="1" x14ac:dyDescent="0.25">
      <c r="B23" s="75"/>
      <c r="C23" s="7"/>
      <c r="D23" s="7"/>
      <c r="E23" s="7"/>
      <c r="F23" s="7"/>
      <c r="G23" s="7"/>
      <c r="H23" s="7"/>
      <c r="I23" s="29" t="str">
        <f>VLOOKUP(AG49,AG2:AR97,$AE$1+1,FALSE)</f>
        <v>montážní plocha pro řídící jednotku motoru, rozměr 250 x 400 mm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6"/>
      <c r="U23" s="76"/>
      <c r="X23" s="7"/>
      <c r="Y23" s="29"/>
      <c r="Z23" s="29"/>
      <c r="AA23" s="7"/>
      <c r="AB23" s="6"/>
      <c r="AI23" t="s">
        <v>139</v>
      </c>
      <c r="AJ23" t="s">
        <v>140</v>
      </c>
    </row>
    <row r="24" spans="1:42" ht="15.75" x14ac:dyDescent="0.25">
      <c r="B24" s="75"/>
      <c r="C24" s="7"/>
      <c r="D24" s="7"/>
      <c r="E24" s="7"/>
      <c r="F24" s="7"/>
      <c r="G24" s="7"/>
      <c r="H24" s="7"/>
      <c r="I24" s="29" t="str">
        <f>VLOOKUP(AG50,AG2:AR97,$AE$1+1,FALSE)</f>
        <v>osa cca 1.400 až 1.500 mm od podlahy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6"/>
      <c r="X24" s="7"/>
      <c r="Y24" s="29"/>
      <c r="Z24" s="29"/>
      <c r="AA24" s="7"/>
      <c r="AB24" s="6"/>
    </row>
    <row r="25" spans="1:42" ht="15.75" customHeight="1" x14ac:dyDescent="0.25">
      <c r="B25" s="75"/>
      <c r="C25" s="7"/>
      <c r="D25" s="7"/>
      <c r="E25" s="7"/>
      <c r="F25" s="7"/>
      <c r="G25" s="7"/>
      <c r="H25" s="7"/>
      <c r="J25" s="77"/>
      <c r="K25" s="29"/>
      <c r="L25" s="29"/>
      <c r="M25" s="29"/>
      <c r="N25" s="29"/>
      <c r="O25" s="29"/>
      <c r="P25" s="29"/>
      <c r="Q25" s="29"/>
      <c r="R25" s="7"/>
      <c r="S25" s="7"/>
      <c r="T25" s="76"/>
      <c r="U25" s="78"/>
      <c r="X25" s="7"/>
      <c r="Y25" s="29"/>
      <c r="Z25" s="29"/>
      <c r="AA25" s="7"/>
      <c r="AB25" s="6"/>
      <c r="AG25" t="str">
        <f t="shared" ref="AG25:AG32" si="0">VLOOKUP(AH25,AH25:AR119,$AE$1,FALSE)</f>
        <v>PRÁCE, KTERÉ MUSÍ BÝT PROVEDENY ZÁKAZNÍKEM PŘED MONTÁŽÍ, POKUD NEBYLO DOHODNUTO JINAK</v>
      </c>
      <c r="AH25" t="s">
        <v>147</v>
      </c>
      <c r="AI25" t="s">
        <v>148</v>
      </c>
      <c r="AJ25" t="s">
        <v>149</v>
      </c>
      <c r="AK25" t="s">
        <v>150</v>
      </c>
      <c r="AL25" t="s">
        <v>151</v>
      </c>
      <c r="AM25" t="s">
        <v>152</v>
      </c>
      <c r="AN25" t="s">
        <v>153</v>
      </c>
      <c r="AO25" t="s">
        <v>154</v>
      </c>
      <c r="AP25" t="s">
        <v>155</v>
      </c>
    </row>
    <row r="26" spans="1:42" ht="15.75" customHeight="1" x14ac:dyDescent="0.25">
      <c r="B26" s="75"/>
      <c r="C26" s="7"/>
      <c r="D26" s="7"/>
      <c r="E26" s="7"/>
      <c r="F26" s="7"/>
      <c r="G26" s="7"/>
      <c r="H26" s="7"/>
      <c r="J26" s="77"/>
      <c r="K26" s="29"/>
      <c r="L26" s="29"/>
      <c r="M26" s="29"/>
      <c r="N26" s="29"/>
      <c r="O26" s="29"/>
      <c r="P26" s="29"/>
      <c r="Q26" s="29"/>
      <c r="R26" s="7"/>
      <c r="S26" s="7"/>
      <c r="T26" s="79"/>
      <c r="U26" s="78"/>
      <c r="Y26" s="29" t="str">
        <f>VLOOKUP(AG21,AG2:AR97,$AE$1+1,FALSE)</f>
        <v>Montáž na porobeton</v>
      </c>
      <c r="Z26" s="77"/>
      <c r="AA26" s="7"/>
      <c r="AB26" s="6"/>
      <c r="AG26" t="str">
        <f t="shared" si="0"/>
        <v>Konstrukční:</v>
      </c>
      <c r="AH26" t="s">
        <v>156</v>
      </c>
      <c r="AI26" t="s">
        <v>157</v>
      </c>
      <c r="AJ26" t="s">
        <v>158</v>
      </c>
      <c r="AK26" t="s">
        <v>159</v>
      </c>
      <c r="AL26" t="s">
        <v>160</v>
      </c>
      <c r="AM26" t="s">
        <v>161</v>
      </c>
      <c r="AN26" t="s">
        <v>162</v>
      </c>
      <c r="AO26" t="s">
        <v>163</v>
      </c>
      <c r="AP26" t="s">
        <v>164</v>
      </c>
    </row>
    <row r="27" spans="1:42" ht="15.75" customHeight="1" x14ac:dyDescent="0.25">
      <c r="B27" s="75"/>
      <c r="C27" s="7"/>
      <c r="D27" s="7"/>
      <c r="E27" s="7"/>
      <c r="F27" s="7"/>
      <c r="G27" s="7"/>
      <c r="H27" s="80"/>
      <c r="I27" s="29" t="str">
        <f>VLOOKUP(AG51,AG3:AR98,$AE$1+1,FALSE)</f>
        <v>zásuvka CEE 16 A, 5P, 400 V, jištěno 6 A (10 A) jističem, proudový chránič I=30 mA</v>
      </c>
      <c r="J27" s="77"/>
      <c r="K27" s="29"/>
      <c r="L27" s="29"/>
      <c r="M27" s="29"/>
      <c r="N27" s="29"/>
      <c r="O27" s="29"/>
      <c r="P27" s="29"/>
      <c r="Q27" s="29"/>
      <c r="R27" s="7"/>
      <c r="S27" s="7"/>
      <c r="T27" s="79"/>
      <c r="U27" s="78"/>
      <c r="Y27" s="29"/>
      <c r="Z27" s="77"/>
      <c r="AA27" s="7"/>
      <c r="AB27" s="6"/>
      <c r="AG27" t="str">
        <f t="shared" si="0"/>
        <v>Příprava montážních ploch pro vedení vrat a pro pružiny.</v>
      </c>
      <c r="AH27" t="s">
        <v>165</v>
      </c>
      <c r="AI27" t="s">
        <v>166</v>
      </c>
      <c r="AJ27" t="s">
        <v>167</v>
      </c>
      <c r="AK27" t="s">
        <v>168</v>
      </c>
      <c r="AL27" t="s">
        <v>169</v>
      </c>
      <c r="AM27" t="s">
        <v>170</v>
      </c>
      <c r="AN27" t="s">
        <v>171</v>
      </c>
      <c r="AO27" t="s">
        <v>172</v>
      </c>
      <c r="AP27" t="s">
        <v>173</v>
      </c>
    </row>
    <row r="28" spans="1:42" ht="29.25" customHeight="1" x14ac:dyDescent="0.25">
      <c r="B28" s="75"/>
      <c r="C28" s="71"/>
      <c r="D28" s="7"/>
      <c r="E28" s="7"/>
      <c r="F28" s="7"/>
      <c r="G28" s="7"/>
      <c r="H28" s="80"/>
      <c r="J28" s="77"/>
      <c r="K28" s="29"/>
      <c r="L28" s="29"/>
      <c r="M28" s="29"/>
      <c r="N28" s="29"/>
      <c r="O28" s="29"/>
      <c r="P28" s="29"/>
      <c r="Q28" s="29"/>
      <c r="R28" s="7"/>
      <c r="S28" s="7"/>
      <c r="T28" s="7"/>
      <c r="U28" s="7"/>
      <c r="Y28" s="29"/>
      <c r="Z28" s="77"/>
      <c r="AA28" s="7"/>
      <c r="AB28" s="6"/>
      <c r="AG28" t="str">
        <f t="shared" si="0"/>
        <v>Montáž vodorovného vedení může být max. 1 metr od pevné konstrukce.</v>
      </c>
      <c r="AH28" t="s">
        <v>174</v>
      </c>
      <c r="AI28" t="s">
        <v>175</v>
      </c>
      <c r="AJ28" t="s">
        <v>176</v>
      </c>
      <c r="AK28" t="s">
        <v>177</v>
      </c>
      <c r="AL28" t="s">
        <v>178</v>
      </c>
      <c r="AM28" t="s">
        <v>179</v>
      </c>
      <c r="AN28" t="s">
        <v>180</v>
      </c>
      <c r="AO28" t="s">
        <v>181</v>
      </c>
      <c r="AP28" t="s">
        <v>182</v>
      </c>
    </row>
    <row r="29" spans="1:42" ht="15.75" x14ac:dyDescent="0.25">
      <c r="B29" s="43"/>
      <c r="C29" s="81"/>
      <c r="D29" s="7"/>
      <c r="E29" s="7"/>
      <c r="F29" s="7"/>
      <c r="G29" s="82"/>
      <c r="H29" s="69"/>
      <c r="I29" s="29"/>
      <c r="J29" s="77"/>
      <c r="K29" s="29"/>
      <c r="L29" s="29"/>
      <c r="M29" s="29"/>
      <c r="N29" s="29"/>
      <c r="O29" s="29"/>
      <c r="P29" s="29"/>
      <c r="R29" s="7"/>
      <c r="S29" s="7"/>
      <c r="T29" s="7"/>
      <c r="U29" s="7"/>
      <c r="Y29" s="29"/>
      <c r="Z29" s="77"/>
      <c r="AA29" s="7"/>
      <c r="AB29" s="6"/>
      <c r="AG29" t="str">
        <f t="shared" si="0"/>
        <v>Nezbytné montážní plochy a volný prostor dle nákresu.</v>
      </c>
      <c r="AH29" t="s">
        <v>183</v>
      </c>
      <c r="AI29" t="s">
        <v>184</v>
      </c>
      <c r="AJ29" t="s">
        <v>185</v>
      </c>
      <c r="AK29" t="s">
        <v>186</v>
      </c>
      <c r="AL29" t="s">
        <v>187</v>
      </c>
      <c r="AM29" t="s">
        <v>188</v>
      </c>
      <c r="AN29" t="s">
        <v>189</v>
      </c>
      <c r="AO29" t="s">
        <v>190</v>
      </c>
      <c r="AP29" t="s">
        <v>191</v>
      </c>
    </row>
    <row r="30" spans="1:42" ht="17.25" customHeight="1" x14ac:dyDescent="0.25">
      <c r="B30" s="43"/>
      <c r="C30" s="7"/>
      <c r="D30" s="7"/>
      <c r="E30" s="7"/>
      <c r="F30" s="82"/>
      <c r="G30" s="7"/>
      <c r="H30" s="7"/>
      <c r="I30" s="83"/>
      <c r="J30" s="83"/>
      <c r="K30" s="83"/>
      <c r="L30" s="83"/>
      <c r="M30" s="83"/>
      <c r="N30" s="83"/>
      <c r="O30" s="83"/>
      <c r="P30" s="83"/>
      <c r="R30" s="71" t="s">
        <v>192</v>
      </c>
      <c r="S30" s="7"/>
      <c r="T30" s="7"/>
      <c r="U30" s="7"/>
      <c r="Y30" s="84" t="str">
        <f>VLOOKUP($AG$22,$AG$2:$AR$97,$AE$1+1,FALSE)</f>
        <v>Montáž na opláštění</v>
      </c>
      <c r="Z30" s="84"/>
      <c r="AA30" s="84"/>
      <c r="AB30" s="6"/>
      <c r="AG30" t="str">
        <f t="shared" si="0"/>
        <v xml:space="preserve">Elektrická příprava (pro elektricky ovládaná sekční vrata): 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t="s">
        <v>198</v>
      </c>
      <c r="AN30" t="s">
        <v>199</v>
      </c>
      <c r="AO30" t="s">
        <v>200</v>
      </c>
      <c r="AP30" t="s">
        <v>201</v>
      </c>
    </row>
    <row r="31" spans="1:42" ht="15.75" customHeight="1" x14ac:dyDescent="0.25">
      <c r="B31" s="43"/>
      <c r="C31" s="7"/>
      <c r="D31" s="7"/>
      <c r="E31" s="7"/>
      <c r="F31" s="7"/>
      <c r="G31" s="7"/>
      <c r="H31" s="7"/>
      <c r="I31" s="83"/>
      <c r="J31" s="83"/>
      <c r="K31" s="83"/>
      <c r="L31" s="83"/>
      <c r="M31" s="83"/>
      <c r="N31" s="83"/>
      <c r="O31" s="83"/>
      <c r="P31" s="83"/>
      <c r="Q31" s="49"/>
      <c r="R31" s="7"/>
      <c r="S31" s="7"/>
      <c r="T31" s="7"/>
      <c r="U31" s="7"/>
      <c r="Y31" s="83"/>
      <c r="Z31" s="83"/>
      <c r="AA31" s="83"/>
      <c r="AB31" s="6"/>
      <c r="AG31" t="str">
        <f t="shared" si="0"/>
        <v>Zásuvka CEE 16 A, 5P, 400 V = zásuvka s nulovým a zemnícím vodičem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t="s">
        <v>207</v>
      </c>
      <c r="AN31" t="s">
        <v>208</v>
      </c>
      <c r="AO31" t="s">
        <v>209</v>
      </c>
      <c r="AP31" t="s">
        <v>210</v>
      </c>
    </row>
    <row r="32" spans="1:42" ht="15.75" customHeight="1" x14ac:dyDescent="0.25">
      <c r="B32" s="50"/>
      <c r="C32" s="85">
        <f>IF(K7=AG103,125,IF(AND(K7=AG104,R7=AG108),375,IF(AND(K7=AG105,R7=AG108),375,125)))</f>
        <v>125</v>
      </c>
      <c r="E32" s="86">
        <f>K3</f>
        <v>0</v>
      </c>
      <c r="F32" s="86"/>
      <c r="G32" s="87"/>
      <c r="H32" s="88">
        <f>IF(K7=AG102,125,IF(AND(K7=AG103,R7=AG109),375,IF(AND(K7=AG104,R7=AG109),375,125)))</f>
        <v>125</v>
      </c>
      <c r="Q32" s="86">
        <f>IF($K$9=$AG$120,290,250)</f>
        <v>250</v>
      </c>
      <c r="R32" s="7"/>
      <c r="S32" s="7"/>
      <c r="T32" s="7"/>
      <c r="U32" s="7"/>
      <c r="Y32" s="83"/>
      <c r="Z32" s="83"/>
      <c r="AA32" s="83"/>
      <c r="AB32" s="6"/>
      <c r="AG32" t="str">
        <f t="shared" si="0"/>
        <v>Zajistit vhodnou montážní plochu pro řídící jednotku motoru 250 x 400 mm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t="s">
        <v>216</v>
      </c>
      <c r="AN32" t="s">
        <v>217</v>
      </c>
      <c r="AO32" t="s">
        <v>218</v>
      </c>
      <c r="AP32" t="s">
        <v>219</v>
      </c>
    </row>
    <row r="33" spans="1:42" x14ac:dyDescent="0.25">
      <c r="B33" s="43"/>
      <c r="C33" s="85"/>
      <c r="D33" s="7"/>
      <c r="E33" s="86"/>
      <c r="F33" s="86"/>
      <c r="G33" s="7"/>
      <c r="H33" s="88"/>
      <c r="I33" s="7"/>
      <c r="J33" s="7"/>
      <c r="K33" s="7"/>
      <c r="L33" s="7"/>
      <c r="M33" s="7"/>
      <c r="N33" s="7"/>
      <c r="O33" s="7"/>
      <c r="P33" s="7"/>
      <c r="Q33" s="86"/>
      <c r="R33" s="7"/>
      <c r="S33" s="7"/>
      <c r="T33" s="7"/>
      <c r="U33" s="7"/>
      <c r="V33" s="7"/>
      <c r="W33" s="7"/>
      <c r="AA33" s="7"/>
      <c r="AB33" s="6"/>
    </row>
    <row r="34" spans="1:42" x14ac:dyDescent="0.25">
      <c r="B34" s="43"/>
      <c r="C34" s="89">
        <f>IF(K7=AG103,125,IF(AND(K7=AG104,R7=AG108),375,IF(AND(K7=AG105,R7=AG108),375,125)))</f>
        <v>125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AA34" s="7"/>
      <c r="AB34" s="6"/>
    </row>
    <row r="35" spans="1:42" x14ac:dyDescent="0.25">
      <c r="B35" s="4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AA35" s="7"/>
      <c r="AB35" s="6"/>
      <c r="AG35" t="str">
        <f>VLOOKUP(AH35,AH35:AR129,$AE$1,FALSE)</f>
        <v>NEZBYTNÁ MONTÁŽNÍ PLOCHA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t="s">
        <v>225</v>
      </c>
      <c r="AN35" t="s">
        <v>226</v>
      </c>
      <c r="AO35" t="s">
        <v>227</v>
      </c>
      <c r="AP35" t="s">
        <v>228</v>
      </c>
    </row>
    <row r="36" spans="1:42" ht="18.75" x14ac:dyDescent="0.3">
      <c r="B36" s="43"/>
      <c r="C36" s="7"/>
      <c r="D36" s="7"/>
      <c r="E36" s="42" t="str">
        <f>VLOOKUP(AG7,AG2:AR97,$AE$1+1,FALSE)</f>
        <v>ŘEZ B-B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AA36" s="7"/>
      <c r="AB36" s="6"/>
      <c r="AG36" t="str">
        <f>VLOOKUP(AH36,AH36:AR130,$AE$1,FALSE)</f>
        <v>DODATEČNÉ MONTÁŽNÍ PLOCHY PRO KONZOLY</v>
      </c>
      <c r="AH36" t="s">
        <v>229</v>
      </c>
      <c r="AI36" t="s">
        <v>230</v>
      </c>
      <c r="AJ36" t="s">
        <v>231</v>
      </c>
      <c r="AK36" t="s">
        <v>232</v>
      </c>
      <c r="AL36" t="s">
        <v>233</v>
      </c>
      <c r="AM36" t="s">
        <v>234</v>
      </c>
      <c r="AN36" t="s">
        <v>235</v>
      </c>
      <c r="AO36" t="s">
        <v>236</v>
      </c>
      <c r="AP36" t="s">
        <v>237</v>
      </c>
    </row>
    <row r="37" spans="1:42" ht="15.75" x14ac:dyDescent="0.25">
      <c r="B37" s="43"/>
      <c r="C37" s="7"/>
      <c r="D37" s="7"/>
      <c r="E37" s="7"/>
      <c r="F37" s="7"/>
      <c r="G37" s="7"/>
      <c r="H37" s="7"/>
      <c r="I37" s="7"/>
      <c r="J37" s="7"/>
      <c r="K37" s="7"/>
      <c r="L37" s="29" t="str">
        <f>VLOOKUP(AG41,AG2:AR97,$AE$1+1,FALSE)</f>
        <v>sklon podlahy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AA37" s="7"/>
      <c r="AB37" s="6"/>
      <c r="AG37" t="str">
        <f>VLOOKUP(AH37,AH37:AR131,$AE$1,FALSE)</f>
        <v>NEZBYTNÝ VOLNÝ PROSTOR</v>
      </c>
      <c r="AH37" t="s">
        <v>238</v>
      </c>
      <c r="AI37" t="s">
        <v>239</v>
      </c>
      <c r="AJ37" t="s">
        <v>240</v>
      </c>
      <c r="AK37" t="s">
        <v>241</v>
      </c>
      <c r="AL37" t="s">
        <v>242</v>
      </c>
      <c r="AM37" t="s">
        <v>243</v>
      </c>
      <c r="AN37" t="s">
        <v>244</v>
      </c>
      <c r="AO37" t="s">
        <v>245</v>
      </c>
      <c r="AP37" t="s">
        <v>246</v>
      </c>
    </row>
    <row r="38" spans="1:42" ht="15.75" x14ac:dyDescent="0.25">
      <c r="B38" s="4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G38" t="str">
        <f>VLOOKUP(AH38,AH38:AR132,$AE$1,FALSE)</f>
        <v>VOLNÝ PROSTOR PRO MOTOR/ŘETĚZ.PŘEVOD</v>
      </c>
      <c r="AH38" t="s">
        <v>247</v>
      </c>
      <c r="AI38" t="s">
        <v>248</v>
      </c>
      <c r="AJ38" t="s">
        <v>249</v>
      </c>
      <c r="AK38" t="s">
        <v>250</v>
      </c>
      <c r="AL38" t="s">
        <v>251</v>
      </c>
      <c r="AM38" t="s">
        <v>252</v>
      </c>
      <c r="AN38" t="s">
        <v>253</v>
      </c>
      <c r="AO38" t="s">
        <v>254</v>
      </c>
      <c r="AP38" t="s">
        <v>255</v>
      </c>
    </row>
    <row r="39" spans="1:42" ht="23.25" customHeight="1" x14ac:dyDescent="0.25">
      <c r="B39" s="90">
        <f>IF($K$9=$AG$120,290,250)</f>
        <v>250</v>
      </c>
      <c r="C39" s="76"/>
      <c r="D39" s="7"/>
      <c r="F39" s="7"/>
      <c r="H39" s="7"/>
      <c r="I39" s="7"/>
      <c r="J39" s="7"/>
      <c r="K39" s="7"/>
      <c r="L39" s="7"/>
      <c r="N39" s="77"/>
      <c r="O39" s="2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</row>
    <row r="40" spans="1:42" ht="15.75" customHeight="1" x14ac:dyDescent="0.25">
      <c r="B40" s="91"/>
      <c r="D40" s="7"/>
      <c r="E40" s="7"/>
      <c r="F40" s="7"/>
      <c r="G40" s="7"/>
      <c r="H40" s="7"/>
      <c r="I40" s="7"/>
      <c r="J40" s="7"/>
      <c r="K40" s="7"/>
      <c r="L40" s="7"/>
      <c r="M40" s="7"/>
      <c r="N40" s="29"/>
      <c r="O40" s="7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</row>
    <row r="41" spans="1:42" ht="15.75" x14ac:dyDescent="0.25">
      <c r="B41" s="43"/>
      <c r="C41" s="92"/>
      <c r="D41" s="7"/>
      <c r="E41" s="93"/>
      <c r="F41" s="93"/>
      <c r="G41" s="7"/>
      <c r="H41" s="7"/>
      <c r="I41" s="7"/>
      <c r="J41" s="7"/>
      <c r="K41" s="7"/>
      <c r="L41" s="7"/>
      <c r="M41" s="7"/>
      <c r="N41" s="29"/>
      <c r="O41" s="7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G41" t="str">
        <f>VLOOKUP(AH41,AH41:AR135,$AE$1,FALSE)</f>
        <v>sklon podlahy</v>
      </c>
      <c r="AH41" t="s">
        <v>256</v>
      </c>
      <c r="AI41" t="s">
        <v>257</v>
      </c>
      <c r="AJ41" t="s">
        <v>258</v>
      </c>
      <c r="AK41" t="s">
        <v>259</v>
      </c>
      <c r="AL41" t="s">
        <v>260</v>
      </c>
      <c r="AM41" t="s">
        <v>261</v>
      </c>
      <c r="AN41" t="s">
        <v>262</v>
      </c>
      <c r="AO41" t="s">
        <v>263</v>
      </c>
      <c r="AP41" t="s">
        <v>264</v>
      </c>
    </row>
    <row r="42" spans="1:42" ht="15.75" x14ac:dyDescent="0.25">
      <c r="B42" s="43"/>
      <c r="C42" s="7"/>
      <c r="D42" s="7"/>
      <c r="E42" s="94">
        <f>H32+E32+C32</f>
        <v>250</v>
      </c>
      <c r="F42" s="7"/>
      <c r="G42" s="7"/>
      <c r="H42" s="7"/>
      <c r="I42" s="7"/>
      <c r="J42" s="7"/>
      <c r="K42" s="7"/>
      <c r="L42" s="7"/>
      <c r="M42" s="7"/>
      <c r="O42" s="7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G42" t="str">
        <f>VLOOKUP(AH42,AH42:AR136,$AE$1,FALSE)</f>
        <v>směrem ven</v>
      </c>
      <c r="AH42" t="s">
        <v>265</v>
      </c>
      <c r="AI42" t="s">
        <v>266</v>
      </c>
      <c r="AJ42" t="s">
        <v>267</v>
      </c>
      <c r="AK42" t="s">
        <v>268</v>
      </c>
      <c r="AL42" t="str">
        <f>""</f>
        <v/>
      </c>
      <c r="AM42" t="s">
        <v>269</v>
      </c>
      <c r="AN42" t="s">
        <v>270</v>
      </c>
      <c r="AO42" t="s">
        <v>271</v>
      </c>
    </row>
    <row r="43" spans="1:42" ht="15.75" x14ac:dyDescent="0.25">
      <c r="B43" s="4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9"/>
      <c r="O43" s="7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G43" t="str">
        <f>VLOOKUP(AH43,AH43:AR137,$AE$1,FALSE)</f>
        <v>sklon 3%</v>
      </c>
      <c r="AH43" t="s">
        <v>272</v>
      </c>
      <c r="AI43" t="s">
        <v>273</v>
      </c>
      <c r="AJ43" t="s">
        <v>274</v>
      </c>
      <c r="AK43" t="s">
        <v>275</v>
      </c>
      <c r="AL43" t="s">
        <v>276</v>
      </c>
      <c r="AM43" t="s">
        <v>277</v>
      </c>
      <c r="AN43" t="s">
        <v>278</v>
      </c>
      <c r="AO43" t="s">
        <v>279</v>
      </c>
      <c r="AP43" t="s">
        <v>280</v>
      </c>
    </row>
    <row r="44" spans="1:42" ht="15.75" x14ac:dyDescent="0.25">
      <c r="B44" s="43"/>
      <c r="C44" s="7"/>
      <c r="D44" s="7"/>
      <c r="E44" s="7"/>
      <c r="F44" s="7"/>
      <c r="G44" s="7"/>
      <c r="H44" s="7"/>
      <c r="I44" s="7"/>
      <c r="J44" s="7"/>
      <c r="K44" s="7"/>
      <c r="L44" s="29"/>
      <c r="M44" s="7"/>
      <c r="N44" s="29"/>
      <c r="O44" s="77"/>
      <c r="P44" s="7"/>
      <c r="Q44" s="7"/>
      <c r="R44" s="7"/>
      <c r="U44" s="7"/>
      <c r="V44" s="7"/>
      <c r="W44" s="7"/>
      <c r="X44" s="7"/>
      <c r="Y44" s="7"/>
      <c r="Z44" s="7"/>
      <c r="AA44" s="7"/>
      <c r="AB44" s="6"/>
      <c r="AG44" t="str">
        <f>VLOOKUP(AH44,AH44:AR138,$AE$1,FALSE)</f>
        <v>směrem ven</v>
      </c>
      <c r="AH44" t="s">
        <v>265</v>
      </c>
      <c r="AI44" t="s">
        <v>281</v>
      </c>
      <c r="AJ44" t="s">
        <v>282</v>
      </c>
      <c r="AK44" t="s">
        <v>268</v>
      </c>
      <c r="AL44" t="s">
        <v>260</v>
      </c>
      <c r="AM44" t="s">
        <v>283</v>
      </c>
      <c r="AN44" t="s">
        <v>284</v>
      </c>
      <c r="AO44" t="s">
        <v>285</v>
      </c>
    </row>
    <row r="45" spans="1:42" ht="15.75" x14ac:dyDescent="0.25">
      <c r="B45" s="43"/>
      <c r="C45" s="7"/>
      <c r="D45" s="7"/>
      <c r="G45" s="7"/>
      <c r="H45" s="7"/>
      <c r="I45" s="7"/>
      <c r="J45" s="7"/>
      <c r="K45" s="7"/>
      <c r="L45" s="7"/>
      <c r="M45" s="7"/>
      <c r="N45" s="29"/>
      <c r="O45" s="77"/>
      <c r="P45" s="7"/>
      <c r="R45" s="95" t="str">
        <f>VLOOKUP(AG35,AG2:AR97,$AE$1+1,FALSE)</f>
        <v>NEZBYTNÁ MONTÁŽNÍ PLOCHA</v>
      </c>
      <c r="S45" s="96"/>
      <c r="T45" s="95"/>
      <c r="U45" s="95"/>
      <c r="V45" s="95"/>
      <c r="W45" s="96"/>
      <c r="X45" s="95" t="str">
        <f>VLOOKUP(AG37,AG4:AR98,$AE$1+1,FALSE)</f>
        <v>NEZBYTNÝ VOLNÝ PROSTOR</v>
      </c>
      <c r="Y45" s="95"/>
      <c r="Z45" s="95"/>
      <c r="AA45" s="95"/>
      <c r="AB45" s="6"/>
      <c r="AG45" t="str">
        <f>VLOOKUP(AH45,AH45:AR139,$AE$1,FALSE)</f>
        <v>sklon podlahy</v>
      </c>
      <c r="AH45" t="s">
        <v>256</v>
      </c>
      <c r="AI45" t="s">
        <v>286</v>
      </c>
      <c r="AJ45" t="s">
        <v>287</v>
      </c>
      <c r="AK45" t="s">
        <v>259</v>
      </c>
      <c r="AL45" t="str">
        <f>""</f>
        <v/>
      </c>
      <c r="AM45" t="s">
        <v>288</v>
      </c>
      <c r="AN45" t="s">
        <v>289</v>
      </c>
      <c r="AO45" t="s">
        <v>290</v>
      </c>
      <c r="AP45" t="s">
        <v>291</v>
      </c>
    </row>
    <row r="46" spans="1:42" ht="15.75" x14ac:dyDescent="0.25">
      <c r="B46" s="4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7"/>
      <c r="P46" s="7"/>
      <c r="R46" s="95"/>
      <c r="S46" s="96"/>
      <c r="T46" s="95"/>
      <c r="U46" s="95"/>
      <c r="V46" s="95"/>
      <c r="W46" s="96"/>
      <c r="X46" s="95"/>
      <c r="Y46" s="95"/>
      <c r="Z46" s="95"/>
      <c r="AA46" s="95"/>
      <c r="AB46" s="6"/>
    </row>
    <row r="47" spans="1:42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7"/>
      <c r="R47" s="95" t="str">
        <f>VLOOKUP(AG36,AG4:AR98,$AE$1+1,FALSE)</f>
        <v>DODATEČNÉ MONTÁŽNÍ PLOCHY PRO KONZOLY</v>
      </c>
      <c r="S47" s="95"/>
      <c r="T47" s="95"/>
      <c r="U47" s="95"/>
      <c r="V47" s="95"/>
      <c r="W47" s="96"/>
      <c r="X47" s="95"/>
      <c r="Y47" s="95"/>
      <c r="Z47" s="95"/>
      <c r="AA47" s="95"/>
      <c r="AB47" s="6"/>
    </row>
    <row r="48" spans="1:42" ht="15.75" x14ac:dyDescent="0.25">
      <c r="A48" s="6"/>
      <c r="B48" s="29" t="str">
        <f>VLOOKUP(AG8,AG2:AR97,$AE$1+1,FALSE)</f>
        <v>POZNÁMKA:</v>
      </c>
      <c r="C48" s="29"/>
      <c r="D48" s="29"/>
      <c r="E48" s="29"/>
      <c r="F48" s="7"/>
      <c r="G48" s="7"/>
      <c r="H48" s="7"/>
      <c r="I48" s="7"/>
      <c r="J48" s="7"/>
      <c r="K48" s="7"/>
      <c r="L48" s="7"/>
      <c r="M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"/>
      <c r="AG48" t="str">
        <f>VLOOKUP(AH48,AH48:AR142,$AE$1,FALSE)</f>
        <v>nezbytný boční prostor pro motor nebo řetězový pohon ( L nebo R )</v>
      </c>
      <c r="AH48" t="s">
        <v>292</v>
      </c>
      <c r="AI48" t="s">
        <v>293</v>
      </c>
      <c r="AJ48" t="s">
        <v>294</v>
      </c>
      <c r="AK48" t="s">
        <v>295</v>
      </c>
      <c r="AL48" t="s">
        <v>296</v>
      </c>
      <c r="AM48" t="s">
        <v>297</v>
      </c>
      <c r="AN48" t="s">
        <v>298</v>
      </c>
      <c r="AO48" t="s">
        <v>299</v>
      </c>
      <c r="AP48" t="s">
        <v>300</v>
      </c>
    </row>
    <row r="49" spans="1:42" ht="15.75" x14ac:dyDescent="0.25">
      <c r="A49" s="6"/>
      <c r="B49" s="97" t="str">
        <f>VLOOKUP(AG54,AG2:AR97,$AE$1+1,FALSE)</f>
        <v>Stěna nad překladem, stěny vedle otvoru a plochy pro montáž konzol musí být rovné a v jedné rovině.</v>
      </c>
      <c r="C49" s="29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7"/>
      <c r="P49" s="7"/>
      <c r="Q49" s="7"/>
      <c r="R49" s="98" t="str">
        <f>VLOOKUP(AG25,AG2:AR97,$AE$1+1,FALSE)</f>
        <v>PRÁCE, KTERÉ MUSÍ BÝT PROVEDENY ZÁKAZNÍKEM PŘED MONTÁŽÍ, POKUD NEBYLO DOHODNUTO JINAK</v>
      </c>
      <c r="S49" s="98"/>
      <c r="T49" s="98"/>
      <c r="U49" s="98"/>
      <c r="V49" s="98"/>
      <c r="W49" s="98"/>
      <c r="X49" s="98"/>
      <c r="Y49" s="98"/>
      <c r="Z49" s="98"/>
      <c r="AA49" s="98"/>
      <c r="AB49" s="99"/>
      <c r="AG49" t="str">
        <f>VLOOKUP(AH49,AH49:AR143,$AE$1,FALSE)</f>
        <v>montážní plocha pro řídící jednotku motoru, rozměr 250 x 400 mm</v>
      </c>
      <c r="AH49" t="s">
        <v>301</v>
      </c>
      <c r="AI49" t="s">
        <v>302</v>
      </c>
      <c r="AJ49" t="s">
        <v>303</v>
      </c>
      <c r="AK49" t="s">
        <v>304</v>
      </c>
      <c r="AL49" t="s">
        <v>305</v>
      </c>
      <c r="AM49" t="s">
        <v>306</v>
      </c>
      <c r="AN49" t="s">
        <v>307</v>
      </c>
      <c r="AO49" t="s">
        <v>308</v>
      </c>
      <c r="AP49" t="s">
        <v>309</v>
      </c>
    </row>
    <row r="50" spans="1:42" ht="15.75" x14ac:dyDescent="0.25">
      <c r="A50" s="6"/>
      <c r="B50" s="97" t="str">
        <f>VLOOKUP(AG55,AG2:AR97,$AE$1+1,FALSE)</f>
        <v>Otvor musí být svislý a obdélníkový.</v>
      </c>
      <c r="C50" s="29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7"/>
      <c r="P50" s="7"/>
      <c r="Q50" s="7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G50" t="str">
        <f>VLOOKUP(AH50,AH50:AR144,$AE$1,FALSE)</f>
        <v>osa cca 1.400 až 1.500 mm od podlahy</v>
      </c>
      <c r="AH50" t="s">
        <v>310</v>
      </c>
      <c r="AI50" t="s">
        <v>311</v>
      </c>
      <c r="AJ50" t="s">
        <v>312</v>
      </c>
      <c r="AK50" t="s">
        <v>313</v>
      </c>
      <c r="AL50" t="s">
        <v>314</v>
      </c>
      <c r="AM50" t="s">
        <v>315</v>
      </c>
      <c r="AN50" t="s">
        <v>316</v>
      </c>
      <c r="AO50" t="s">
        <v>317</v>
      </c>
      <c r="AP50" t="s">
        <v>318</v>
      </c>
    </row>
    <row r="51" spans="1:42" ht="15.75" x14ac:dyDescent="0.25">
      <c r="A51" s="6"/>
      <c r="B51" s="29" t="str">
        <f>VLOOKUP(AG56,AG2:AR97,$AE$1+1,FALSE)</f>
        <v>Podlaha musí být rovná a vodorovná.</v>
      </c>
      <c r="C51" s="29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7"/>
      <c r="R51" s="7" t="str">
        <f>VLOOKUP(AG26,AG2:AR97,$AE$1+1,FALSE)</f>
        <v>Konstrukční:</v>
      </c>
      <c r="S51" s="7"/>
      <c r="T51" s="7"/>
      <c r="U51" s="7"/>
      <c r="V51" s="7"/>
      <c r="W51" s="7"/>
      <c r="X51" s="7"/>
      <c r="Y51" s="7"/>
      <c r="Z51" s="7"/>
      <c r="AA51" s="7"/>
      <c r="AB51" s="6"/>
      <c r="AG51" t="str">
        <f>VLOOKUP(AH51,AH51:AR145,$AE$1,FALSE)</f>
        <v>zásuvka CEE 16 A, 5P, 400 V, jištěno 6 A (10 A) jističem, proudový chránič I=30 mA</v>
      </c>
      <c r="AH51" t="s">
        <v>319</v>
      </c>
      <c r="AI51" t="s">
        <v>320</v>
      </c>
      <c r="AJ51" t="s">
        <v>321</v>
      </c>
      <c r="AK51" t="s">
        <v>322</v>
      </c>
      <c r="AL51" t="s">
        <v>323</v>
      </c>
      <c r="AM51" t="s">
        <v>324</v>
      </c>
      <c r="AN51" t="s">
        <v>325</v>
      </c>
      <c r="AO51" t="s">
        <v>326</v>
      </c>
      <c r="AP51" t="s">
        <v>327</v>
      </c>
    </row>
    <row r="52" spans="1:42" ht="16.5" thickBot="1" x14ac:dyDescent="0.3">
      <c r="A52" s="6"/>
      <c r="F52" s="29"/>
      <c r="G52" s="29"/>
      <c r="H52" s="29"/>
      <c r="I52" s="29"/>
      <c r="J52" s="29"/>
      <c r="K52" s="29"/>
      <c r="L52" s="7"/>
      <c r="M52" s="7"/>
      <c r="N52" s="7"/>
      <c r="O52" s="7"/>
      <c r="Q52" s="7"/>
      <c r="R52" s="100" t="str">
        <f>VLOOKUP(AG27,AG2:AR97,$AE$1+1,FALSE)</f>
        <v>Příprava montážních ploch pro vedení vrat a pro pružiny.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7"/>
    </row>
    <row r="53" spans="1:42" ht="15.75" customHeight="1" thickBot="1" x14ac:dyDescent="0.3">
      <c r="B53" s="102" t="str">
        <f>VLOOKUP(AG59,AG2:AR97,$AE$1+1,FALSE)</f>
        <v>Rozměry jsou v mm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  <c r="Q53" s="7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7"/>
    </row>
    <row r="54" spans="1:42" ht="15.75" thickBot="1" x14ac:dyDescent="0.3">
      <c r="B54" s="105" t="s">
        <v>328</v>
      </c>
      <c r="C54" s="106" t="str">
        <f>VLOOKUP(AG60,AG2:AR97,$AE$1+1,FALSE)</f>
        <v>Šířka otvoru</v>
      </c>
      <c r="D54" s="107"/>
      <c r="E54" s="106"/>
      <c r="F54" s="108"/>
      <c r="G54" s="109" t="str">
        <f>VLOOKUP(AG75,AG6:AR100,$AE$1+1,FALSE)</f>
        <v>Ruční ovládání</v>
      </c>
      <c r="H54" s="110"/>
      <c r="I54" s="110"/>
      <c r="J54" s="110"/>
      <c r="K54" s="109"/>
      <c r="L54" s="111"/>
      <c r="M54" s="109" t="str">
        <f>VLOOKUP(AG82,AG6:AR100,$AE$1+1,FALSE)</f>
        <v>Volný prostor nad překladem</v>
      </c>
      <c r="N54" s="109"/>
      <c r="O54" s="109"/>
      <c r="P54" s="111"/>
      <c r="Q54" s="7"/>
      <c r="R54" s="100" t="str">
        <f>VLOOKUP(AG28,AG3:AR97,$AE$1+1,FALSE)</f>
        <v>Montáž vodorovného vedení může být max. 1 metr od pevné konstrukce.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7"/>
      <c r="AG54" t="str">
        <f>VLOOKUP(AH54,AH54:AR148,$AE$1,FALSE)</f>
        <v>Stěna nad překladem, stěny vedle otvoru a plochy pro montáž konzol musí být rovné a v jedné rovině.</v>
      </c>
      <c r="AH54" t="s">
        <v>329</v>
      </c>
      <c r="AI54" t="s">
        <v>330</v>
      </c>
      <c r="AJ54" t="s">
        <v>331</v>
      </c>
      <c r="AK54" t="s">
        <v>332</v>
      </c>
      <c r="AL54" t="s">
        <v>333</v>
      </c>
      <c r="AM54" t="s">
        <v>334</v>
      </c>
      <c r="AN54" t="s">
        <v>335</v>
      </c>
      <c r="AO54" t="s">
        <v>336</v>
      </c>
      <c r="AP54" t="s">
        <v>337</v>
      </c>
    </row>
    <row r="55" spans="1:42" ht="15.75" thickBot="1" x14ac:dyDescent="0.3">
      <c r="B55" s="105" t="s">
        <v>338</v>
      </c>
      <c r="C55" s="106" t="str">
        <f>VLOOKUP(AG61,AG3:AR97,$AE$1+1,FALSE)</f>
        <v>Výška otvoru</v>
      </c>
      <c r="D55" s="107"/>
      <c r="E55" s="107"/>
      <c r="F55" s="108"/>
      <c r="G55" s="105" t="s">
        <v>339</v>
      </c>
      <c r="H55" s="107" t="str">
        <f>VLOOKUP(AG76,AG6:AR100,$AE$1+1,FALSE)</f>
        <v>Obě strany</v>
      </c>
      <c r="I55" s="107"/>
      <c r="J55" s="16"/>
      <c r="K55" s="107"/>
      <c r="L55" s="107" t="s">
        <v>340</v>
      </c>
      <c r="M55" s="112" t="s">
        <v>341</v>
      </c>
      <c r="N55" s="113">
        <f>350</f>
        <v>350</v>
      </c>
      <c r="O55" s="114">
        <f>IF(K9=AG120,N55+40,N55)</f>
        <v>350</v>
      </c>
      <c r="P55" s="115">
        <f>IF(K11=AG131,O55+80,IF(K11=AG132,O55+100,IF(K11=AG133,O55+120,IF(K11=AG134,O55+240,O55))))</f>
        <v>350</v>
      </c>
      <c r="Q55" s="7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1"/>
      <c r="AC55" s="7"/>
      <c r="AG55" t="str">
        <f>VLOOKUP(AH55,AH55:AR149,$AE$1,FALSE)</f>
        <v>Otvor musí být svislý a obdélníkový.</v>
      </c>
      <c r="AH55" t="s">
        <v>342</v>
      </c>
      <c r="AI55" t="s">
        <v>343</v>
      </c>
      <c r="AJ55" t="s">
        <v>344</v>
      </c>
      <c r="AK55" t="s">
        <v>345</v>
      </c>
      <c r="AL55" t="s">
        <v>346</v>
      </c>
      <c r="AM55" t="s">
        <v>347</v>
      </c>
      <c r="AN55" t="s">
        <v>348</v>
      </c>
      <c r="AO55" t="s">
        <v>349</v>
      </c>
      <c r="AP55" t="s">
        <v>350</v>
      </c>
    </row>
    <row r="56" spans="1:42" ht="15.75" thickBot="1" x14ac:dyDescent="0.3">
      <c r="B56" s="105" t="s">
        <v>351</v>
      </c>
      <c r="C56" s="106" t="str">
        <f>VLOOKUP(AG64,AG5:AR99,$AE$1+1,FALSE)</f>
        <v>Volný prostor nad překladem</v>
      </c>
      <c r="D56" s="107"/>
      <c r="E56" s="107"/>
      <c r="F56" s="108"/>
      <c r="G56" s="105" t="s">
        <v>352</v>
      </c>
      <c r="H56" s="107" t="str">
        <f>VLOOKUP(AG79,AG6:AR100,$AE$1+1,FALSE)</f>
        <v>Hloubka vedení</v>
      </c>
      <c r="I56" s="107"/>
      <c r="J56" s="107"/>
      <c r="K56" s="116" t="s">
        <v>353</v>
      </c>
      <c r="L56" s="108" t="str">
        <f>IF(OR(K3="",K5=""),"",K5+490)</f>
        <v/>
      </c>
      <c r="M56" s="117"/>
      <c r="N56" s="118"/>
      <c r="O56" s="118"/>
      <c r="P56" s="119"/>
      <c r="R56" s="7" t="str">
        <f>VLOOKUP(AG29,AG2:AR97,$AE$1+1,FALSE)</f>
        <v>Nezbytné montážní plochy a volný prostor dle nákresu.</v>
      </c>
      <c r="S56" s="7"/>
      <c r="T56" s="7"/>
      <c r="U56" s="7"/>
      <c r="V56" s="7"/>
      <c r="W56" s="7"/>
      <c r="X56" s="7"/>
      <c r="Y56" s="7"/>
      <c r="Z56" s="7"/>
      <c r="AA56" s="7"/>
      <c r="AB56" s="6"/>
      <c r="AG56" t="str">
        <f>VLOOKUP(AH56,AH56:AR150,$AE$1,FALSE)</f>
        <v>Podlaha musí být rovná a vodorovná.</v>
      </c>
      <c r="AH56" t="s">
        <v>354</v>
      </c>
      <c r="AI56" t="s">
        <v>355</v>
      </c>
      <c r="AJ56" t="s">
        <v>356</v>
      </c>
      <c r="AK56" t="s">
        <v>357</v>
      </c>
      <c r="AL56" t="s">
        <v>358</v>
      </c>
      <c r="AM56" t="s">
        <v>359</v>
      </c>
      <c r="AN56" t="s">
        <v>360</v>
      </c>
      <c r="AO56" t="s">
        <v>361</v>
      </c>
      <c r="AP56" t="s">
        <v>362</v>
      </c>
    </row>
    <row r="57" spans="1:42" ht="15.75" thickBot="1" x14ac:dyDescent="0.3">
      <c r="B57" s="120" t="s">
        <v>363</v>
      </c>
      <c r="C57" s="106" t="str">
        <f>VLOOKUP(AG83,AG6:AR100,$AE$1+1,FALSE)</f>
        <v>Osa hřídele nad překladem</v>
      </c>
      <c r="E57" s="107"/>
      <c r="F57" s="108"/>
      <c r="G57" s="121" t="str">
        <f>VLOOKUP(AG77,AG6:AR100,$AE$1+1,FALSE)</f>
        <v>Ovládání elektricky nebo řetězovým převodem</v>
      </c>
      <c r="H57" s="122"/>
      <c r="I57" s="122"/>
      <c r="J57" s="122"/>
      <c r="K57" s="122"/>
      <c r="L57" s="123"/>
      <c r="M57" s="124"/>
      <c r="N57" s="124"/>
      <c r="O57" s="124"/>
      <c r="P57" s="104"/>
      <c r="R57" s="7" t="str">
        <f>VLOOKUP(AG30,AG2:AR97,$AE$1+1,FALSE)</f>
        <v xml:space="preserve">Elektrická příprava (pro elektricky ovládaná sekční vrata): </v>
      </c>
      <c r="S57" s="7"/>
      <c r="T57" s="7"/>
      <c r="U57" s="7"/>
      <c r="V57" s="7"/>
      <c r="W57" s="7"/>
      <c r="X57" s="7"/>
      <c r="Y57" s="7"/>
      <c r="Z57" s="7"/>
      <c r="AA57" s="7"/>
      <c r="AB57" s="6"/>
    </row>
    <row r="58" spans="1:42" ht="15.75" thickBot="1" x14ac:dyDescent="0.3">
      <c r="A58" s="6"/>
      <c r="B58" s="105" t="s">
        <v>364</v>
      </c>
      <c r="C58" s="106" t="str">
        <f>VLOOKUP(AG66,AG7:AR101,$AE$1+1,FALSE)</f>
        <v>Volný prostor vlevo</v>
      </c>
      <c r="D58" s="107"/>
      <c r="F58" s="108"/>
      <c r="G58" s="105" t="s">
        <v>339</v>
      </c>
      <c r="H58" s="107" t="str">
        <f>VLOOKUP(AG78,AG6:AR100,$AE$1+1,FALSE)</f>
        <v>Motor nebo řetěz. př.</v>
      </c>
      <c r="I58" s="107"/>
      <c r="J58" s="16"/>
      <c r="K58" s="107"/>
      <c r="L58" s="108" t="s">
        <v>365</v>
      </c>
      <c r="M58" s="102"/>
      <c r="N58" s="103"/>
      <c r="O58" s="103"/>
      <c r="P58" s="104"/>
      <c r="R58" s="7" t="str">
        <f>VLOOKUP(AG31,AG2:AR97,$AE$1+1,FALSE)</f>
        <v>Zásuvka CEE 16 A, 5P, 400 V = zásuvka s nulovým a zemnícím vodičem</v>
      </c>
      <c r="S58" s="7"/>
      <c r="T58" s="7"/>
      <c r="U58" s="7"/>
      <c r="V58" s="7"/>
      <c r="W58" s="7"/>
      <c r="X58" s="7"/>
      <c r="AA58" s="7"/>
      <c r="AB58" s="6"/>
    </row>
    <row r="59" spans="1:42" ht="15.75" thickBot="1" x14ac:dyDescent="0.3">
      <c r="A59" s="6"/>
      <c r="B59" s="105" t="s">
        <v>366</v>
      </c>
      <c r="C59" s="106" t="str">
        <f>VLOOKUP(AG67,AG8:AR102,$AE$1+1,FALSE)</f>
        <v>Volný prostor vravo</v>
      </c>
      <c r="D59" s="107"/>
      <c r="E59" s="107"/>
      <c r="F59" s="108"/>
      <c r="G59" s="105" t="s">
        <v>352</v>
      </c>
      <c r="H59" s="107" t="str">
        <f>VLOOKUP(AG79,AG6:AR100,$AE$1+1,FALSE)</f>
        <v>Hloubka vedení</v>
      </c>
      <c r="I59" s="107"/>
      <c r="J59" s="107"/>
      <c r="K59" s="116" t="s">
        <v>367</v>
      </c>
      <c r="L59" s="108" t="str">
        <f>IF(OR(K3="",K5=""),"",K5+660)</f>
        <v/>
      </c>
      <c r="M59" s="122" t="str">
        <f>VLOOKUP(AG83,AG6:AR100,$AE$1+1,FALSE)</f>
        <v>Osa hřídele nad překladem</v>
      </c>
      <c r="N59" s="122"/>
      <c r="O59" s="122"/>
      <c r="P59" s="123"/>
      <c r="AA59" s="1"/>
      <c r="AB59" s="125"/>
      <c r="AG59" t="str">
        <f t="shared" ref="AG59:AG70" si="1">VLOOKUP(AH59,AH59:AR153,$AE$1,FALSE)</f>
        <v>Rozměry jsou v mm</v>
      </c>
      <c r="AH59" t="s">
        <v>368</v>
      </c>
      <c r="AI59" t="s">
        <v>369</v>
      </c>
      <c r="AJ59" t="s">
        <v>370</v>
      </c>
      <c r="AK59" t="s">
        <v>371</v>
      </c>
      <c r="AL59" t="s">
        <v>372</v>
      </c>
      <c r="AM59" t="s">
        <v>373</v>
      </c>
      <c r="AN59" t="s">
        <v>374</v>
      </c>
      <c r="AO59" t="s">
        <v>375</v>
      </c>
      <c r="AP59" t="s">
        <v>376</v>
      </c>
    </row>
    <row r="60" spans="1:42" ht="15.75" thickBot="1" x14ac:dyDescent="0.3">
      <c r="B60" s="126" t="s">
        <v>377</v>
      </c>
      <c r="C60" s="106" t="str">
        <f>VLOOKUP(AG69,AG9:AR103,$AE$1+1,FALSE)</f>
        <v>Úhel sklonu střechy</v>
      </c>
      <c r="E60" s="107"/>
      <c r="F60" s="108"/>
      <c r="G60" s="109" t="str">
        <f>VLOOKUP(AG80,AG6:AR100,$AE$1+1,FALSE)</f>
        <v>Kotvící bod, když je</v>
      </c>
      <c r="H60" s="109"/>
      <c r="I60" s="109" t="s">
        <v>378</v>
      </c>
      <c r="J60" s="109"/>
      <c r="K60" s="109"/>
      <c r="L60" s="111"/>
      <c r="M60" s="105" t="s">
        <v>379</v>
      </c>
      <c r="N60" s="127">
        <f>K5+255</f>
        <v>255</v>
      </c>
      <c r="O60" s="128"/>
      <c r="P60" s="108">
        <f>IF(K11=AG131,O61+80,IF(K11=AG132,O61+100,IF(K11=AG133,O61+120,IF(K11=AG134,O61+240,O61))))-K5</f>
        <v>255</v>
      </c>
      <c r="Q60" s="7"/>
      <c r="R60" s="129" t="str">
        <f>VLOOKUP(AG86,AG2:AR97,$AE$1+1,FALSE)</f>
        <v>Sestavil:</v>
      </c>
      <c r="S60" s="130"/>
      <c r="T60" s="129" t="str">
        <f>VLOOKUP(AG87,AG2:AR97,$AE$1+1,FALSE)</f>
        <v>Upravil:</v>
      </c>
      <c r="U60" s="130"/>
      <c r="V60" s="129" t="str">
        <f>VLOOKUP(AG88,AG2:AR97,$AE$1+1,FALSE)</f>
        <v>Schváleno - datum:</v>
      </c>
      <c r="W60" s="130"/>
      <c r="X60" s="129" t="str">
        <f>VLOOKUP(AG89,AG2:AR97,$AE$1+1,FALSE)</f>
        <v>Název souboru:</v>
      </c>
      <c r="Y60" s="130"/>
      <c r="Z60" s="131" t="str">
        <f>VLOOKUP(AG90,AG2:AR97,$AE$1+1,FALSE)</f>
        <v>Datum:</v>
      </c>
      <c r="AA60" s="132" t="str">
        <f>VLOOKUP(AG91,AG2:AR97,$AE$1+1,FALSE)</f>
        <v>Měřítko</v>
      </c>
      <c r="AB60" s="34" t="str">
        <f>VLOOKUP(AG92,AG2:AR97,$AE$1+1,FALSE)</f>
        <v xml:space="preserve">Formát: </v>
      </c>
      <c r="AG60" t="str">
        <f t="shared" si="1"/>
        <v>Šířka otvoru</v>
      </c>
      <c r="AH60" t="s">
        <v>24</v>
      </c>
      <c r="AI60" t="s">
        <v>25</v>
      </c>
      <c r="AJ60" t="s">
        <v>26</v>
      </c>
      <c r="AK60" t="s">
        <v>27</v>
      </c>
      <c r="AL60" t="s">
        <v>28</v>
      </c>
      <c r="AM60" t="s">
        <v>29</v>
      </c>
      <c r="AN60" t="s">
        <v>30</v>
      </c>
      <c r="AO60" t="s">
        <v>31</v>
      </c>
      <c r="AP60" t="s">
        <v>380</v>
      </c>
    </row>
    <row r="61" spans="1:42" ht="15.75" thickBot="1" x14ac:dyDescent="0.3">
      <c r="B61" s="105" t="s">
        <v>381</v>
      </c>
      <c r="C61" s="106" t="str">
        <f>VLOOKUP(AG68,AG9:AR103,$AE$1+1,FALSE)</f>
        <v>Hloubka vedení</v>
      </c>
      <c r="D61" s="107"/>
      <c r="E61" s="107"/>
      <c r="F61" s="108"/>
      <c r="G61" s="105" t="s">
        <v>382</v>
      </c>
      <c r="H61" s="103" t="str">
        <f>VLOOKUP(AG81,AG6:AR100,$AE$1+1,FALSE)</f>
        <v>Kotvící bod</v>
      </c>
      <c r="I61" s="103"/>
      <c r="J61" s="103"/>
      <c r="K61" s="133" t="s">
        <v>383</v>
      </c>
      <c r="L61" s="104" t="str">
        <f>IF(OR(K3="",K5=""),"",K5)</f>
        <v/>
      </c>
      <c r="M61" s="134"/>
      <c r="N61" s="135"/>
      <c r="O61" s="127">
        <f>IF(K9=AG120,N60+40,N60)</f>
        <v>255</v>
      </c>
      <c r="P61" s="125"/>
      <c r="Q61" s="7"/>
      <c r="R61" s="129" t="s">
        <v>384</v>
      </c>
      <c r="S61" s="130"/>
      <c r="T61" s="129" t="s">
        <v>385</v>
      </c>
      <c r="U61" s="130"/>
      <c r="V61" s="136">
        <v>43787</v>
      </c>
      <c r="W61" s="130"/>
      <c r="X61" s="129" t="s">
        <v>386</v>
      </c>
      <c r="Y61" s="130"/>
      <c r="Z61" s="137">
        <v>43787</v>
      </c>
      <c r="AA61" s="138" t="s">
        <v>387</v>
      </c>
      <c r="AB61" s="139" t="s">
        <v>388</v>
      </c>
      <c r="AG61" t="str">
        <f t="shared" si="1"/>
        <v>Výška otvoru</v>
      </c>
      <c r="AH61" t="s">
        <v>34</v>
      </c>
      <c r="AI61" t="s">
        <v>35</v>
      </c>
      <c r="AJ61" t="s">
        <v>36</v>
      </c>
      <c r="AK61" t="s">
        <v>37</v>
      </c>
      <c r="AL61" t="s">
        <v>38</v>
      </c>
      <c r="AM61" t="s">
        <v>39</v>
      </c>
      <c r="AN61" t="s">
        <v>40</v>
      </c>
      <c r="AO61" t="s">
        <v>41</v>
      </c>
      <c r="AP61" t="s">
        <v>389</v>
      </c>
    </row>
    <row r="62" spans="1:42" ht="15.75" customHeight="1" thickBot="1" x14ac:dyDescent="0.3">
      <c r="B62" s="105" t="s">
        <v>390</v>
      </c>
      <c r="C62" s="106" t="str">
        <f>VLOOKUP(AG71,AG13:AR105,$AE$1+1,FALSE)</f>
        <v>Kotvící bod č. 1</v>
      </c>
      <c r="D62" s="107"/>
      <c r="E62" s="107"/>
      <c r="F62" s="108"/>
      <c r="G62" s="15" t="str">
        <f>VLOOKUP(AG80,AG6:AR100,$AE$1+1,FALSE)</f>
        <v>Kotvící bod, když je</v>
      </c>
      <c r="H62" s="15"/>
      <c r="I62" s="109" t="s">
        <v>391</v>
      </c>
      <c r="J62" s="15"/>
      <c r="K62" s="15"/>
      <c r="L62" s="140"/>
      <c r="M62" s="141"/>
      <c r="N62" s="142"/>
      <c r="O62" s="142"/>
      <c r="P62" s="104"/>
      <c r="Q62" s="7"/>
      <c r="R62" s="143" t="s">
        <v>392</v>
      </c>
      <c r="S62" s="144"/>
      <c r="T62" s="144"/>
      <c r="U62" s="145"/>
      <c r="V62" s="146" t="str">
        <f>VLOOKUP(AG93,AG2:AR97,$AE$1+1,FALSE)</f>
        <v xml:space="preserve">STAVEBNÍ PŘIPRAVENOST  </v>
      </c>
      <c r="W62" s="147"/>
      <c r="X62" s="147"/>
      <c r="Y62" s="147"/>
      <c r="Z62" s="147"/>
      <c r="AA62" s="147"/>
      <c r="AB62" s="148"/>
      <c r="AG62" t="str">
        <f t="shared" si="1"/>
        <v>High lift</v>
      </c>
      <c r="AH62" t="s">
        <v>393</v>
      </c>
      <c r="AI62" t="s">
        <v>393</v>
      </c>
      <c r="AJ62" t="s">
        <v>394</v>
      </c>
      <c r="AK62" t="s">
        <v>395</v>
      </c>
      <c r="AL62" t="s">
        <v>396</v>
      </c>
      <c r="AM62" t="s">
        <v>393</v>
      </c>
      <c r="AN62" t="s">
        <v>397</v>
      </c>
      <c r="AO62" t="s">
        <v>398</v>
      </c>
      <c r="AP62" t="s">
        <v>399</v>
      </c>
    </row>
    <row r="63" spans="1:42" ht="15.75" customHeight="1" thickBot="1" x14ac:dyDescent="0.3">
      <c r="B63" s="105" t="s">
        <v>400</v>
      </c>
      <c r="C63" s="106" t="str">
        <f>VLOOKUP(AG72,AG14:AR106,$AE$1+1,FALSE)</f>
        <v>Kotvící bod č. 2</v>
      </c>
      <c r="D63" s="107"/>
      <c r="E63" s="107"/>
      <c r="F63" s="108"/>
      <c r="G63" s="105" t="s">
        <v>382</v>
      </c>
      <c r="H63" s="107" t="str">
        <f>VLOOKUP(AG71,AG6:AR100,$AE$1+1,FALSE)</f>
        <v>Kotvící bod č. 1</v>
      </c>
      <c r="J63" s="107"/>
      <c r="K63" s="116" t="s">
        <v>383</v>
      </c>
      <c r="L63" s="108" t="str">
        <f>IF(OR(K3="",K5=""),"",K5)</f>
        <v/>
      </c>
      <c r="M63" s="102"/>
      <c r="N63" s="103"/>
      <c r="O63" s="103"/>
      <c r="P63" s="104"/>
      <c r="Q63" s="7"/>
      <c r="R63" s="149"/>
      <c r="S63" s="150"/>
      <c r="T63" s="150"/>
      <c r="U63" s="151"/>
      <c r="V63" s="152"/>
      <c r="W63" s="153"/>
      <c r="X63" s="153"/>
      <c r="Y63" s="153"/>
      <c r="Z63" s="153"/>
      <c r="AA63" s="153"/>
      <c r="AB63" s="154"/>
      <c r="AG63" t="str">
        <f t="shared" si="1"/>
        <v>Výška stropu</v>
      </c>
      <c r="AH63" t="s">
        <v>401</v>
      </c>
      <c r="AI63" t="s">
        <v>402</v>
      </c>
      <c r="AJ63" t="s">
        <v>403</v>
      </c>
      <c r="AK63" t="s">
        <v>404</v>
      </c>
      <c r="AL63" t="s">
        <v>405</v>
      </c>
      <c r="AM63" t="s">
        <v>406</v>
      </c>
      <c r="AN63" t="s">
        <v>407</v>
      </c>
      <c r="AO63" t="s">
        <v>408</v>
      </c>
      <c r="AP63" t="s">
        <v>409</v>
      </c>
    </row>
    <row r="64" spans="1:42" ht="15.75" customHeight="1" thickBot="1" x14ac:dyDescent="0.3">
      <c r="B64" s="105" t="s">
        <v>410</v>
      </c>
      <c r="C64" s="106" t="str">
        <f>VLOOKUP(AG73,AG15:AR107,$AE$1+1,FALSE)</f>
        <v>Kotvící bod č. 3</v>
      </c>
      <c r="D64" s="107"/>
      <c r="E64" s="107"/>
      <c r="F64" s="108"/>
      <c r="G64" s="105" t="s">
        <v>411</v>
      </c>
      <c r="H64" s="107" t="str">
        <f>VLOOKUP(AG72,AG6:AR100,$AE$1+1,FALSE)</f>
        <v>Kotvící bod č. 2</v>
      </c>
      <c r="I64" s="107"/>
      <c r="J64" s="107"/>
      <c r="K64" s="116" t="s">
        <v>412</v>
      </c>
      <c r="L64" s="108" t="str">
        <f>IF(OR(K3="",K5=""),"",L63/2)</f>
        <v/>
      </c>
      <c r="M64" s="103"/>
      <c r="N64" s="103"/>
      <c r="O64" s="103"/>
      <c r="P64" s="104"/>
      <c r="Q64" s="7"/>
      <c r="R64" s="43"/>
      <c r="S64" s="7"/>
      <c r="T64" s="7"/>
      <c r="U64" s="7"/>
      <c r="V64" s="152" t="str">
        <f>AG12</f>
        <v>STANDARDNÍ VEDENÍ POD ÚHLEM (FSL350)</v>
      </c>
      <c r="W64" s="153"/>
      <c r="X64" s="153"/>
      <c r="Y64" s="153"/>
      <c r="Z64" s="153"/>
      <c r="AA64" s="153"/>
      <c r="AB64" s="154"/>
      <c r="AG64" t="str">
        <f t="shared" si="1"/>
        <v>Volný prostor nad překladem</v>
      </c>
      <c r="AH64" t="s">
        <v>413</v>
      </c>
      <c r="AI64" t="s">
        <v>414</v>
      </c>
      <c r="AJ64" t="s">
        <v>415</v>
      </c>
      <c r="AK64" t="s">
        <v>416</v>
      </c>
      <c r="AL64" t="s">
        <v>417</v>
      </c>
      <c r="AM64" t="s">
        <v>418</v>
      </c>
      <c r="AN64" t="s">
        <v>419</v>
      </c>
      <c r="AO64" t="s">
        <v>420</v>
      </c>
      <c r="AP64" t="s">
        <v>421</v>
      </c>
    </row>
    <row r="65" spans="2:76" ht="15.75" customHeight="1" thickBot="1" x14ac:dyDescent="0.3">
      <c r="B65" s="120"/>
      <c r="C65" s="106"/>
      <c r="D65" s="106"/>
      <c r="E65" s="107"/>
      <c r="F65" s="108"/>
      <c r="G65" s="155"/>
      <c r="H65" s="109"/>
      <c r="I65" s="109"/>
      <c r="J65" s="109"/>
      <c r="K65" s="109"/>
      <c r="L65" s="140"/>
      <c r="M65" s="129"/>
      <c r="N65" s="156"/>
      <c r="O65" s="103"/>
      <c r="P65" s="104"/>
      <c r="Q65" s="7"/>
      <c r="R65" s="43"/>
      <c r="S65" s="7"/>
      <c r="T65" s="7"/>
      <c r="U65" s="7"/>
      <c r="V65" s="152"/>
      <c r="W65" s="153"/>
      <c r="X65" s="153"/>
      <c r="Y65" s="153"/>
      <c r="Z65" s="153"/>
      <c r="AA65" s="153"/>
      <c r="AB65" s="154"/>
      <c r="AG65" t="str">
        <f t="shared" si="1"/>
        <v>Výška montážní plochy nad otvorem</v>
      </c>
      <c r="AH65" t="s">
        <v>422</v>
      </c>
      <c r="AI65" t="s">
        <v>423</v>
      </c>
      <c r="AJ65" t="s">
        <v>424</v>
      </c>
      <c r="AK65" t="s">
        <v>425</v>
      </c>
      <c r="AL65" t="s">
        <v>426</v>
      </c>
      <c r="AM65" t="s">
        <v>427</v>
      </c>
      <c r="AN65" t="s">
        <v>428</v>
      </c>
      <c r="AO65" t="s">
        <v>429</v>
      </c>
      <c r="AP65" t="s">
        <v>430</v>
      </c>
    </row>
    <row r="66" spans="2:76" ht="15.75" customHeight="1" thickBot="1" x14ac:dyDescent="0.3">
      <c r="B66" s="105"/>
      <c r="C66" s="106"/>
      <c r="D66" s="107"/>
      <c r="E66" s="107"/>
      <c r="F66" s="108"/>
      <c r="G66" s="120"/>
      <c r="H66" s="157"/>
      <c r="I66" s="1"/>
      <c r="J66" s="1"/>
      <c r="K66" s="116"/>
      <c r="L66" s="108"/>
      <c r="M66" s="158"/>
      <c r="N66" s="103"/>
      <c r="O66" s="106"/>
      <c r="P66" s="159"/>
      <c r="Q66" s="7"/>
      <c r="R66" s="43"/>
      <c r="S66" s="7"/>
      <c r="T66" s="7"/>
      <c r="U66" s="7"/>
      <c r="V66" s="160"/>
      <c r="W66" s="161"/>
      <c r="X66" s="161"/>
      <c r="Y66" s="161"/>
      <c r="Z66" s="161"/>
      <c r="AA66" s="161"/>
      <c r="AB66" s="162"/>
      <c r="AG66" t="str">
        <f t="shared" si="1"/>
        <v>Volný prostor vlevo</v>
      </c>
      <c r="AH66" t="s">
        <v>431</v>
      </c>
      <c r="AI66" t="s">
        <v>432</v>
      </c>
      <c r="AJ66" t="s">
        <v>433</v>
      </c>
      <c r="AK66" t="s">
        <v>434</v>
      </c>
      <c r="AL66" t="s">
        <v>435</v>
      </c>
      <c r="AM66" t="s">
        <v>436</v>
      </c>
      <c r="AN66" t="s">
        <v>437</v>
      </c>
      <c r="AO66" t="s">
        <v>438</v>
      </c>
      <c r="AP66" t="s">
        <v>439</v>
      </c>
    </row>
    <row r="67" spans="2:76" ht="15.75" thickBot="1" x14ac:dyDescent="0.3">
      <c r="B67" s="163"/>
      <c r="C67" s="103"/>
      <c r="D67" s="103"/>
      <c r="E67" s="103"/>
      <c r="F67" s="104"/>
      <c r="G67" s="164"/>
      <c r="H67" s="106"/>
      <c r="I67" s="103"/>
      <c r="J67" s="103"/>
      <c r="K67" s="165"/>
      <c r="L67" s="166"/>
      <c r="M67" s="158"/>
      <c r="N67" s="103"/>
      <c r="O67" s="103"/>
      <c r="P67" s="104"/>
      <c r="Q67" s="7"/>
      <c r="R67" s="43"/>
      <c r="S67" s="7"/>
      <c r="T67" s="7"/>
      <c r="U67" s="7"/>
      <c r="V67" s="167" t="str">
        <f>AG12</f>
        <v>STANDARDNÍ VEDENÍ POD ÚHLEM (FSL350)</v>
      </c>
      <c r="W67" s="168"/>
      <c r="X67" s="168"/>
      <c r="Y67" s="169"/>
      <c r="Z67" s="132" t="str">
        <f>VLOOKUP(AG96,AG2:AR97,$AE$1+1,FALSE)</f>
        <v>Kód:</v>
      </c>
      <c r="AA67" s="129" t="str">
        <f>VLOOKUP(AG97,AG2:AR97,$AE$1+1,FALSE)</f>
        <v>Verze:</v>
      </c>
      <c r="AB67" s="130"/>
      <c r="AG67" t="str">
        <f t="shared" si="1"/>
        <v>Volný prostor vravo</v>
      </c>
      <c r="AH67" t="s">
        <v>440</v>
      </c>
      <c r="AI67" t="s">
        <v>441</v>
      </c>
      <c r="AJ67" t="s">
        <v>442</v>
      </c>
      <c r="AK67" t="s">
        <v>443</v>
      </c>
      <c r="AL67" t="s">
        <v>444</v>
      </c>
      <c r="AM67" t="s">
        <v>445</v>
      </c>
      <c r="AN67" t="s">
        <v>446</v>
      </c>
      <c r="AO67" t="s">
        <v>447</v>
      </c>
      <c r="AP67" t="s">
        <v>448</v>
      </c>
    </row>
    <row r="68" spans="2:76" ht="15.75" thickBot="1" x14ac:dyDescent="0.3">
      <c r="B68" s="170"/>
      <c r="C68" s="1"/>
      <c r="D68" s="1"/>
      <c r="E68" s="1"/>
      <c r="F68" s="125"/>
      <c r="G68" s="105"/>
      <c r="H68" s="171"/>
      <c r="I68" s="103"/>
      <c r="J68" s="103"/>
      <c r="K68" s="172"/>
      <c r="L68" s="173"/>
      <c r="M68" s="174"/>
      <c r="N68" s="1"/>
      <c r="O68" s="1"/>
      <c r="P68" s="125"/>
      <c r="Q68" s="1"/>
      <c r="R68" s="175"/>
      <c r="S68" s="1"/>
      <c r="T68" s="1"/>
      <c r="U68" s="1"/>
      <c r="V68" s="176"/>
      <c r="W68" s="177"/>
      <c r="X68" s="177"/>
      <c r="Y68" s="178"/>
      <c r="Z68" s="179" t="s">
        <v>449</v>
      </c>
      <c r="AA68" s="180">
        <v>1947</v>
      </c>
      <c r="AB68" s="181"/>
      <c r="AG68" t="str">
        <f t="shared" si="1"/>
        <v>Hloubka vedení</v>
      </c>
      <c r="AH68" t="s">
        <v>450</v>
      </c>
      <c r="AI68" t="s">
        <v>451</v>
      </c>
      <c r="AJ68" t="s">
        <v>452</v>
      </c>
      <c r="AK68" t="s">
        <v>453</v>
      </c>
      <c r="AL68" t="s">
        <v>454</v>
      </c>
      <c r="AM68" t="s">
        <v>455</v>
      </c>
      <c r="AN68" t="s">
        <v>456</v>
      </c>
      <c r="AO68" t="s">
        <v>457</v>
      </c>
      <c r="AP68" t="s">
        <v>458</v>
      </c>
    </row>
    <row r="69" spans="2:76" x14ac:dyDescent="0.25">
      <c r="B69" s="4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7"/>
      <c r="R69" s="7"/>
      <c r="S69" s="7"/>
      <c r="T69" s="7"/>
      <c r="U69" s="7"/>
      <c r="V69" s="182"/>
      <c r="W69" s="182"/>
      <c r="X69" s="182"/>
      <c r="Y69" s="182"/>
      <c r="Z69" s="23"/>
      <c r="AA69" s="23"/>
      <c r="AB69" s="23"/>
      <c r="AG69" t="str">
        <f t="shared" si="1"/>
        <v>Úhel sklonu střechy</v>
      </c>
      <c r="AH69" s="16" t="s">
        <v>459</v>
      </c>
      <c r="AI69" s="16" t="s">
        <v>460</v>
      </c>
      <c r="AJ69" s="16" t="s">
        <v>461</v>
      </c>
      <c r="AK69" s="16" t="s">
        <v>453</v>
      </c>
      <c r="AL69" s="16" t="s">
        <v>462</v>
      </c>
      <c r="AM69" s="16" t="s">
        <v>463</v>
      </c>
      <c r="AN69" s="16" t="s">
        <v>464</v>
      </c>
      <c r="AO69" s="16" t="s">
        <v>465</v>
      </c>
      <c r="AP69" s="16" t="s">
        <v>466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2:76" x14ac:dyDescent="0.25">
      <c r="B70" s="4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7"/>
      <c r="R70" s="7"/>
      <c r="S70" s="7"/>
      <c r="T70" s="7"/>
      <c r="U70" s="7"/>
      <c r="V70" s="182"/>
      <c r="W70" s="182"/>
      <c r="X70" s="182"/>
      <c r="Y70" s="182"/>
      <c r="Z70" s="23"/>
      <c r="AA70" s="23"/>
      <c r="AB70" s="23"/>
      <c r="AG70" t="str">
        <f t="shared" si="1"/>
        <v>Kotvící body pro jekl</v>
      </c>
      <c r="AH70" s="16" t="s">
        <v>467</v>
      </c>
      <c r="AI70" s="16" t="s">
        <v>468</v>
      </c>
      <c r="AJ70" s="16" t="s">
        <v>469</v>
      </c>
      <c r="AK70" s="16" t="s">
        <v>470</v>
      </c>
      <c r="AL70" s="16" t="s">
        <v>471</v>
      </c>
      <c r="AM70" s="16" t="s">
        <v>472</v>
      </c>
      <c r="AN70" s="16" t="s">
        <v>473</v>
      </c>
      <c r="AO70" s="16" t="s">
        <v>474</v>
      </c>
      <c r="AP70" s="16" t="s">
        <v>475</v>
      </c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2:76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23"/>
      <c r="W71" s="23"/>
      <c r="X71" s="23"/>
      <c r="Y71" s="23"/>
      <c r="Z71" s="7"/>
      <c r="AA71" s="7"/>
      <c r="AB71" s="7"/>
      <c r="AG71" t="str">
        <f>VLOOKUP(AH71,AH71:AR163,$AE$1,FALSE)</f>
        <v>Kotvící bod č. 1</v>
      </c>
      <c r="AH71" t="s">
        <v>476</v>
      </c>
      <c r="AI71" t="s">
        <v>477</v>
      </c>
      <c r="AJ71" t="s">
        <v>478</v>
      </c>
      <c r="AK71" t="s">
        <v>479</v>
      </c>
      <c r="AL71" t="s">
        <v>480</v>
      </c>
      <c r="AM71" t="s">
        <v>481</v>
      </c>
      <c r="AN71" t="s">
        <v>482</v>
      </c>
      <c r="AO71" t="s">
        <v>483</v>
      </c>
      <c r="AP71" t="s">
        <v>484</v>
      </c>
    </row>
    <row r="72" spans="2:76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3"/>
      <c r="W72" s="23"/>
      <c r="X72" s="23"/>
      <c r="Y72" s="23"/>
      <c r="Z72" s="7"/>
      <c r="AA72" s="7"/>
      <c r="AB72" s="7"/>
      <c r="AG72" t="str">
        <f>VLOOKUP(AH72,AH72:AR164,$AE$1,FALSE)</f>
        <v>Kotvící bod č. 2</v>
      </c>
      <c r="AH72" t="s">
        <v>485</v>
      </c>
      <c r="AI72" t="s">
        <v>486</v>
      </c>
      <c r="AJ72" t="s">
        <v>487</v>
      </c>
      <c r="AK72" t="s">
        <v>488</v>
      </c>
      <c r="AL72" t="s">
        <v>489</v>
      </c>
      <c r="AM72" t="s">
        <v>490</v>
      </c>
      <c r="AN72" t="s">
        <v>491</v>
      </c>
      <c r="AO72" t="s">
        <v>492</v>
      </c>
      <c r="AP72" t="s">
        <v>493</v>
      </c>
    </row>
    <row r="73" spans="2:76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3"/>
      <c r="W73" s="23"/>
      <c r="X73" s="23"/>
      <c r="Y73" s="23"/>
      <c r="Z73" s="7"/>
      <c r="AA73" s="7"/>
      <c r="AB73" s="7"/>
      <c r="AG73" t="str">
        <f>VLOOKUP(AH73,AH73:AR165,$AE$1,FALSE)</f>
        <v>Kotvící bod č. 3</v>
      </c>
      <c r="AH73" t="s">
        <v>494</v>
      </c>
      <c r="AI73" t="s">
        <v>495</v>
      </c>
      <c r="AJ73" t="s">
        <v>496</v>
      </c>
      <c r="AK73" t="s">
        <v>497</v>
      </c>
      <c r="AL73" t="s">
        <v>498</v>
      </c>
      <c r="AM73" t="s">
        <v>499</v>
      </c>
      <c r="AN73" t="s">
        <v>500</v>
      </c>
      <c r="AO73" t="s">
        <v>501</v>
      </c>
      <c r="AP73" t="s">
        <v>502</v>
      </c>
    </row>
    <row r="74" spans="2:76" x14ac:dyDescent="0.25">
      <c r="F74" s="7"/>
      <c r="G74" s="27"/>
      <c r="H74" s="27"/>
      <c r="I74" s="27"/>
      <c r="J74" s="27"/>
      <c r="K74" s="27"/>
      <c r="L74" s="27"/>
      <c r="M74" s="7"/>
      <c r="N74" s="7"/>
      <c r="AG74" t="str">
        <f t="shared" ref="AG74:AG83" si="2">VLOOKUP(AH74,AH74:AR165,$AE$1,FALSE)</f>
        <v>Volný prostor nad překladem</v>
      </c>
      <c r="AH74" s="35" t="s">
        <v>413</v>
      </c>
      <c r="AI74" s="35" t="s">
        <v>503</v>
      </c>
      <c r="AJ74" s="35" t="s">
        <v>504</v>
      </c>
      <c r="AK74" s="35" t="s">
        <v>505</v>
      </c>
      <c r="AL74" s="35" t="s">
        <v>506</v>
      </c>
      <c r="AM74" s="35" t="s">
        <v>507</v>
      </c>
      <c r="AN74" s="35" t="s">
        <v>508</v>
      </c>
      <c r="AO74" s="35" t="s">
        <v>509</v>
      </c>
      <c r="AP74" s="35" t="s">
        <v>510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</row>
    <row r="75" spans="2:76" x14ac:dyDescent="0.25">
      <c r="F75" s="7"/>
      <c r="G75" s="40"/>
      <c r="H75" s="27"/>
      <c r="I75" s="27"/>
      <c r="J75" s="27"/>
      <c r="K75" s="27"/>
      <c r="L75" s="27"/>
      <c r="M75" s="7"/>
      <c r="N75" s="7"/>
      <c r="AG75" t="str">
        <f t="shared" si="2"/>
        <v>Ruční ovládání</v>
      </c>
      <c r="AH75" t="s">
        <v>511</v>
      </c>
      <c r="AI75" t="s">
        <v>512</v>
      </c>
      <c r="AJ75" t="s">
        <v>513</v>
      </c>
      <c r="AK75" t="s">
        <v>514</v>
      </c>
      <c r="AL75" t="s">
        <v>515</v>
      </c>
      <c r="AM75" t="s">
        <v>516</v>
      </c>
      <c r="AN75" t="s">
        <v>517</v>
      </c>
      <c r="AO75" t="s">
        <v>518</v>
      </c>
      <c r="AP75" t="s">
        <v>519</v>
      </c>
    </row>
    <row r="76" spans="2:76" x14ac:dyDescent="0.25">
      <c r="F76" s="7"/>
      <c r="G76" s="7"/>
      <c r="H76" s="7"/>
      <c r="I76" s="7"/>
      <c r="J76" s="7"/>
      <c r="K76" s="7"/>
      <c r="L76" s="7"/>
      <c r="M76" s="7"/>
      <c r="N76" s="7"/>
      <c r="AG76" t="str">
        <f t="shared" si="2"/>
        <v>Obě strany</v>
      </c>
      <c r="AH76" t="s">
        <v>520</v>
      </c>
      <c r="AI76" t="s">
        <v>521</v>
      </c>
      <c r="AJ76" t="s">
        <v>522</v>
      </c>
      <c r="AK76" t="s">
        <v>523</v>
      </c>
      <c r="AL76" t="s">
        <v>524</v>
      </c>
      <c r="AM76" t="s">
        <v>525</v>
      </c>
      <c r="AN76" t="s">
        <v>526</v>
      </c>
      <c r="AO76" t="s">
        <v>527</v>
      </c>
      <c r="AP76" t="s">
        <v>528</v>
      </c>
    </row>
    <row r="77" spans="2:76" x14ac:dyDescent="0.25">
      <c r="L77" s="7"/>
      <c r="M77" s="7"/>
      <c r="N77" s="7"/>
      <c r="O77" s="7"/>
      <c r="P77" s="7"/>
      <c r="Q77" s="7"/>
      <c r="R77" s="7"/>
      <c r="S77" s="7"/>
      <c r="T77" s="7"/>
      <c r="AG77" t="str">
        <f t="shared" si="2"/>
        <v>Ovládání elektricky nebo řetězovým převodem</v>
      </c>
      <c r="AH77" t="s">
        <v>529</v>
      </c>
      <c r="AI77" t="s">
        <v>530</v>
      </c>
      <c r="AJ77" t="s">
        <v>531</v>
      </c>
      <c r="AK77" t="s">
        <v>532</v>
      </c>
      <c r="AL77" t="s">
        <v>533</v>
      </c>
      <c r="AM77" t="s">
        <v>534</v>
      </c>
      <c r="AN77" t="s">
        <v>535</v>
      </c>
      <c r="AO77" t="s">
        <v>536</v>
      </c>
      <c r="AP77" t="s">
        <v>537</v>
      </c>
    </row>
    <row r="78" spans="2:76" x14ac:dyDescent="0.25">
      <c r="L78" s="7"/>
      <c r="M78" s="7"/>
      <c r="N78" s="7"/>
      <c r="O78" s="7"/>
      <c r="P78" s="7"/>
      <c r="Q78" s="7"/>
      <c r="R78" s="7"/>
      <c r="S78" s="7"/>
      <c r="T78" s="7"/>
      <c r="AG78" t="str">
        <f t="shared" si="2"/>
        <v>Motor nebo řetěz. př.</v>
      </c>
      <c r="AH78" t="s">
        <v>538</v>
      </c>
      <c r="AI78" t="s">
        <v>539</v>
      </c>
      <c r="AJ78" t="s">
        <v>540</v>
      </c>
      <c r="AK78" t="s">
        <v>541</v>
      </c>
      <c r="AL78" t="s">
        <v>542</v>
      </c>
      <c r="AM78" t="s">
        <v>543</v>
      </c>
      <c r="AN78" t="s">
        <v>544</v>
      </c>
      <c r="AO78" t="s">
        <v>545</v>
      </c>
      <c r="AP78" t="s">
        <v>546</v>
      </c>
    </row>
    <row r="79" spans="2:76" x14ac:dyDescent="0.25">
      <c r="L79" s="7"/>
      <c r="M79" s="7"/>
      <c r="N79" s="7"/>
      <c r="O79" s="7"/>
      <c r="P79" s="7"/>
      <c r="Q79" s="7"/>
      <c r="R79" s="7"/>
      <c r="S79" s="7"/>
      <c r="T79" s="7"/>
      <c r="AG79" t="str">
        <f t="shared" si="2"/>
        <v>Hloubka vedení</v>
      </c>
      <c r="AH79" t="s">
        <v>450</v>
      </c>
      <c r="AI79" t="s">
        <v>451</v>
      </c>
      <c r="AJ79" t="s">
        <v>452</v>
      </c>
      <c r="AK79" t="s">
        <v>547</v>
      </c>
      <c r="AL79" t="s">
        <v>454</v>
      </c>
      <c r="AM79" t="s">
        <v>455</v>
      </c>
      <c r="AN79" t="s">
        <v>456</v>
      </c>
      <c r="AO79" t="s">
        <v>548</v>
      </c>
      <c r="AP79" t="s">
        <v>458</v>
      </c>
    </row>
    <row r="80" spans="2:76" x14ac:dyDescent="0.25">
      <c r="L80" s="7"/>
      <c r="M80" s="7"/>
      <c r="N80" s="7"/>
      <c r="O80" s="7"/>
      <c r="P80" s="7"/>
      <c r="Q80" s="7"/>
      <c r="R80" s="7"/>
      <c r="S80" s="7"/>
      <c r="T80" s="7"/>
      <c r="AG80" t="str">
        <f t="shared" si="2"/>
        <v>Kotvící bod, když je</v>
      </c>
      <c r="AH80" t="s">
        <v>549</v>
      </c>
      <c r="AI80" t="s">
        <v>550</v>
      </c>
      <c r="AJ80" t="s">
        <v>551</v>
      </c>
      <c r="AK80" t="s">
        <v>552</v>
      </c>
      <c r="AL80" t="s">
        <v>553</v>
      </c>
      <c r="AM80" t="s">
        <v>554</v>
      </c>
      <c r="AN80" t="s">
        <v>555</v>
      </c>
      <c r="AO80" t="s">
        <v>556</v>
      </c>
      <c r="AP80" t="s">
        <v>557</v>
      </c>
    </row>
    <row r="81" spans="12:42" x14ac:dyDescent="0.25">
      <c r="L81" s="7"/>
      <c r="M81" s="7"/>
      <c r="N81" s="7"/>
      <c r="O81" s="7"/>
      <c r="P81" s="7"/>
      <c r="Q81" s="7"/>
      <c r="R81" s="7"/>
      <c r="S81" s="7"/>
      <c r="T81" s="7"/>
      <c r="AG81" t="str">
        <f t="shared" si="2"/>
        <v>Kotvící bod</v>
      </c>
      <c r="AH81" t="s">
        <v>558</v>
      </c>
      <c r="AI81" t="s">
        <v>559</v>
      </c>
      <c r="AJ81" t="s">
        <v>560</v>
      </c>
      <c r="AK81" t="s">
        <v>561</v>
      </c>
      <c r="AL81" t="s">
        <v>562</v>
      </c>
      <c r="AM81" t="s">
        <v>563</v>
      </c>
      <c r="AN81" t="s">
        <v>564</v>
      </c>
      <c r="AO81" t="s">
        <v>565</v>
      </c>
      <c r="AP81" t="s">
        <v>566</v>
      </c>
    </row>
    <row r="82" spans="12:42" x14ac:dyDescent="0.25">
      <c r="L82" s="7"/>
      <c r="M82" s="7"/>
      <c r="N82" s="7"/>
      <c r="O82" s="7"/>
      <c r="P82" s="7"/>
      <c r="Q82" s="7"/>
      <c r="R82" s="7"/>
      <c r="S82" s="7"/>
      <c r="T82" s="7"/>
      <c r="AG82" t="str">
        <f t="shared" si="2"/>
        <v>Volný prostor nad překladem</v>
      </c>
      <c r="AH82" t="s">
        <v>413</v>
      </c>
      <c r="AI82" t="s">
        <v>414</v>
      </c>
      <c r="AJ82" t="s">
        <v>415</v>
      </c>
      <c r="AK82" t="s">
        <v>567</v>
      </c>
      <c r="AL82" t="s">
        <v>417</v>
      </c>
      <c r="AM82" t="s">
        <v>418</v>
      </c>
      <c r="AN82" t="s">
        <v>568</v>
      </c>
      <c r="AO82" t="s">
        <v>569</v>
      </c>
      <c r="AP82" t="s">
        <v>421</v>
      </c>
    </row>
    <row r="83" spans="12:42" x14ac:dyDescent="0.25">
      <c r="L83" s="7"/>
      <c r="M83" s="7"/>
      <c r="N83" s="7"/>
      <c r="O83" s="7"/>
      <c r="P83" s="183"/>
      <c r="Q83" s="183"/>
      <c r="R83" s="7"/>
      <c r="S83" s="7"/>
      <c r="T83" s="7"/>
      <c r="AG83" t="str">
        <f t="shared" si="2"/>
        <v>Osa hřídele nad překladem</v>
      </c>
      <c r="AH83" t="s">
        <v>570</v>
      </c>
      <c r="AI83" t="s">
        <v>571</v>
      </c>
      <c r="AJ83" t="s">
        <v>572</v>
      </c>
      <c r="AK83" t="s">
        <v>573</v>
      </c>
      <c r="AL83" t="s">
        <v>574</v>
      </c>
      <c r="AM83" t="s">
        <v>575</v>
      </c>
      <c r="AN83" t="s">
        <v>576</v>
      </c>
      <c r="AO83" t="s">
        <v>577</v>
      </c>
      <c r="AP83" t="s">
        <v>578</v>
      </c>
    </row>
    <row r="84" spans="12:42" x14ac:dyDescent="0.25">
      <c r="L84" s="7"/>
      <c r="M84" s="7"/>
      <c r="N84" s="7"/>
      <c r="O84" s="7"/>
      <c r="P84" s="7"/>
      <c r="Q84" s="7"/>
      <c r="R84" s="7"/>
      <c r="S84" s="7"/>
      <c r="T84" s="7"/>
    </row>
    <row r="86" spans="12:42" x14ac:dyDescent="0.25">
      <c r="AG86" t="str">
        <f t="shared" ref="AG86:AG98" si="3">VLOOKUP(AH86,AH86:AR177,$AE$1,FALSE)</f>
        <v>Sestavil:</v>
      </c>
      <c r="AH86" t="s">
        <v>579</v>
      </c>
      <c r="AI86" t="s">
        <v>580</v>
      </c>
      <c r="AJ86" t="s">
        <v>581</v>
      </c>
      <c r="AK86" t="s">
        <v>582</v>
      </c>
      <c r="AL86" t="s">
        <v>583</v>
      </c>
      <c r="AM86" t="s">
        <v>584</v>
      </c>
      <c r="AN86" t="s">
        <v>585</v>
      </c>
      <c r="AO86" t="s">
        <v>586</v>
      </c>
      <c r="AP86" t="s">
        <v>587</v>
      </c>
    </row>
    <row r="87" spans="12:42" x14ac:dyDescent="0.25">
      <c r="AG87" t="str">
        <f t="shared" si="3"/>
        <v>Upravil:</v>
      </c>
      <c r="AH87" t="s">
        <v>588</v>
      </c>
      <c r="AI87" t="s">
        <v>589</v>
      </c>
      <c r="AJ87" t="s">
        <v>590</v>
      </c>
      <c r="AK87" t="s">
        <v>591</v>
      </c>
      <c r="AL87" t="s">
        <v>592</v>
      </c>
      <c r="AM87" t="s">
        <v>593</v>
      </c>
      <c r="AN87" t="s">
        <v>594</v>
      </c>
      <c r="AO87" t="s">
        <v>595</v>
      </c>
      <c r="AP87" t="s">
        <v>596</v>
      </c>
    </row>
    <row r="88" spans="12:42" x14ac:dyDescent="0.25">
      <c r="AG88" t="str">
        <f t="shared" si="3"/>
        <v>Schváleno - datum:</v>
      </c>
      <c r="AH88" t="s">
        <v>597</v>
      </c>
      <c r="AI88" t="s">
        <v>598</v>
      </c>
      <c r="AJ88" t="s">
        <v>599</v>
      </c>
      <c r="AK88" t="s">
        <v>600</v>
      </c>
      <c r="AL88" t="s">
        <v>601</v>
      </c>
      <c r="AM88" t="s">
        <v>602</v>
      </c>
      <c r="AN88" t="s">
        <v>603</v>
      </c>
      <c r="AO88" t="s">
        <v>604</v>
      </c>
      <c r="AP88" t="s">
        <v>605</v>
      </c>
    </row>
    <row r="89" spans="12:42" x14ac:dyDescent="0.25">
      <c r="AG89" t="str">
        <f t="shared" si="3"/>
        <v>Název souboru:</v>
      </c>
      <c r="AH89" t="s">
        <v>606</v>
      </c>
      <c r="AI89" t="s">
        <v>607</v>
      </c>
      <c r="AJ89" t="s">
        <v>608</v>
      </c>
      <c r="AK89" t="s">
        <v>609</v>
      </c>
      <c r="AL89" t="s">
        <v>610</v>
      </c>
      <c r="AM89" t="s">
        <v>611</v>
      </c>
      <c r="AN89" t="s">
        <v>612</v>
      </c>
      <c r="AO89" t="s">
        <v>613</v>
      </c>
      <c r="AP89" t="s">
        <v>614</v>
      </c>
    </row>
    <row r="90" spans="12:42" x14ac:dyDescent="0.25">
      <c r="AG90" t="str">
        <f t="shared" si="3"/>
        <v>Datum:</v>
      </c>
      <c r="AH90" t="s">
        <v>615</v>
      </c>
      <c r="AI90" t="s">
        <v>616</v>
      </c>
      <c r="AJ90" t="s">
        <v>615</v>
      </c>
      <c r="AK90" t="s">
        <v>617</v>
      </c>
      <c r="AL90" t="s">
        <v>618</v>
      </c>
      <c r="AM90" t="s">
        <v>615</v>
      </c>
      <c r="AN90" t="s">
        <v>619</v>
      </c>
      <c r="AO90" t="s">
        <v>620</v>
      </c>
      <c r="AP90" t="s">
        <v>621</v>
      </c>
    </row>
    <row r="91" spans="12:42" x14ac:dyDescent="0.25">
      <c r="AG91" t="str">
        <f t="shared" si="3"/>
        <v>Měřítko</v>
      </c>
      <c r="AH91" t="s">
        <v>622</v>
      </c>
      <c r="AI91" t="s">
        <v>623</v>
      </c>
      <c r="AJ91" t="s">
        <v>624</v>
      </c>
      <c r="AK91" t="s">
        <v>625</v>
      </c>
      <c r="AL91" t="s">
        <v>626</v>
      </c>
      <c r="AM91" t="s">
        <v>627</v>
      </c>
      <c r="AN91" t="s">
        <v>628</v>
      </c>
      <c r="AO91" t="s">
        <v>629</v>
      </c>
      <c r="AP91" t="s">
        <v>630</v>
      </c>
    </row>
    <row r="92" spans="12:42" x14ac:dyDescent="0.25">
      <c r="AG92" t="str">
        <f t="shared" si="3"/>
        <v xml:space="preserve">Formát: </v>
      </c>
      <c r="AH92" t="s">
        <v>631</v>
      </c>
      <c r="AI92" t="s">
        <v>632</v>
      </c>
      <c r="AJ92" t="s">
        <v>633</v>
      </c>
      <c r="AK92" t="s">
        <v>633</v>
      </c>
      <c r="AL92" t="s">
        <v>634</v>
      </c>
      <c r="AM92" t="s">
        <v>632</v>
      </c>
      <c r="AN92" t="s">
        <v>635</v>
      </c>
      <c r="AO92" t="s">
        <v>636</v>
      </c>
      <c r="AP92" t="s">
        <v>637</v>
      </c>
    </row>
    <row r="93" spans="12:42" x14ac:dyDescent="0.25">
      <c r="AG93" t="str">
        <f t="shared" si="3"/>
        <v xml:space="preserve">STAVEBNÍ PŘIPRAVENOST  </v>
      </c>
      <c r="AH93" t="s">
        <v>638</v>
      </c>
      <c r="AI93" t="s">
        <v>639</v>
      </c>
      <c r="AJ93" t="s">
        <v>640</v>
      </c>
      <c r="AK93" t="s">
        <v>641</v>
      </c>
      <c r="AL93" t="s">
        <v>642</v>
      </c>
      <c r="AM93" t="s">
        <v>643</v>
      </c>
      <c r="AN93" t="s">
        <v>644</v>
      </c>
      <c r="AO93" t="s">
        <v>645</v>
      </c>
      <c r="AP93" t="s">
        <v>646</v>
      </c>
    </row>
    <row r="94" spans="12:42" x14ac:dyDescent="0.25">
      <c r="AG94" t="str">
        <f t="shared" si="3"/>
        <v xml:space="preserve">pružiny nad překladem </v>
      </c>
      <c r="AH94" t="s">
        <v>647</v>
      </c>
      <c r="AI94" t="s">
        <v>648</v>
      </c>
      <c r="AJ94" t="s">
        <v>649</v>
      </c>
      <c r="AK94" t="s">
        <v>650</v>
      </c>
      <c r="AL94" t="s">
        <v>651</v>
      </c>
      <c r="AM94" t="s">
        <v>97</v>
      </c>
      <c r="AN94" t="s">
        <v>652</v>
      </c>
      <c r="AO94" t="s">
        <v>653</v>
      </c>
      <c r="AP94" t="s">
        <v>654</v>
      </c>
    </row>
    <row r="95" spans="12:42" x14ac:dyDescent="0.25">
      <c r="AG95" t="str">
        <f t="shared" si="3"/>
        <v>VERTIKÁLNÍ SYSTÉM</v>
      </c>
      <c r="AH95" t="s">
        <v>655</v>
      </c>
      <c r="AI95" t="s">
        <v>656</v>
      </c>
      <c r="AJ95" t="s">
        <v>657</v>
      </c>
      <c r="AK95" t="s">
        <v>658</v>
      </c>
      <c r="AL95" t="s">
        <v>659</v>
      </c>
      <c r="AM95" t="s">
        <v>660</v>
      </c>
    </row>
    <row r="96" spans="12:42" x14ac:dyDescent="0.25">
      <c r="AG96" t="str">
        <f t="shared" si="3"/>
        <v>Kód:</v>
      </c>
      <c r="AH96" t="s">
        <v>661</v>
      </c>
      <c r="AI96" t="s">
        <v>662</v>
      </c>
      <c r="AJ96" t="s">
        <v>663</v>
      </c>
      <c r="AK96" t="s">
        <v>664</v>
      </c>
      <c r="AL96" t="s">
        <v>665</v>
      </c>
      <c r="AM96" t="s">
        <v>666</v>
      </c>
      <c r="AN96" t="s">
        <v>667</v>
      </c>
      <c r="AO96" t="s">
        <v>668</v>
      </c>
      <c r="AP96" t="s">
        <v>669</v>
      </c>
    </row>
    <row r="97" spans="33:42" x14ac:dyDescent="0.25">
      <c r="AG97" t="str">
        <f t="shared" si="3"/>
        <v>Verze:</v>
      </c>
      <c r="AH97" t="s">
        <v>670</v>
      </c>
      <c r="AI97" t="s">
        <v>671</v>
      </c>
      <c r="AJ97" t="s">
        <v>671</v>
      </c>
      <c r="AK97" t="s">
        <v>672</v>
      </c>
      <c r="AL97" t="s">
        <v>673</v>
      </c>
      <c r="AM97" t="s">
        <v>674</v>
      </c>
      <c r="AN97" t="s">
        <v>675</v>
      </c>
      <c r="AO97" t="s">
        <v>676</v>
      </c>
      <c r="AP97" t="s">
        <v>677</v>
      </c>
    </row>
    <row r="98" spans="33:42" x14ac:dyDescent="0.25">
      <c r="AG98" t="str">
        <f t="shared" si="3"/>
        <v>NENÍ POŽADOVÁNO</v>
      </c>
      <c r="AH98" t="s">
        <v>678</v>
      </c>
      <c r="AI98" t="s">
        <v>679</v>
      </c>
      <c r="AJ98" t="s">
        <v>680</v>
      </c>
      <c r="AK98" t="s">
        <v>681</v>
      </c>
      <c r="AL98" t="s">
        <v>682</v>
      </c>
      <c r="AM98" t="s">
        <v>683</v>
      </c>
      <c r="AN98" t="s">
        <v>684</v>
      </c>
      <c r="AO98" t="s">
        <v>685</v>
      </c>
      <c r="AP98" t="s">
        <v>686</v>
      </c>
    </row>
    <row r="100" spans="33:42" x14ac:dyDescent="0.25">
      <c r="AG100" t="str">
        <f>VLOOKUP(AH100,AH100:AR191,$AE$1,FALSE)</f>
        <v>Prosím, vyplňte pole, která jsou označena barevně!</v>
      </c>
      <c r="AH100" t="s">
        <v>687</v>
      </c>
      <c r="AI100" t="s">
        <v>688</v>
      </c>
      <c r="AJ100" t="s">
        <v>689</v>
      </c>
      <c r="AK100" t="s">
        <v>690</v>
      </c>
      <c r="AL100" t="s">
        <v>691</v>
      </c>
      <c r="AM100" t="s">
        <v>692</v>
      </c>
      <c r="AN100" t="s">
        <v>693</v>
      </c>
      <c r="AO100" t="s">
        <v>694</v>
      </c>
      <c r="AP100" t="s">
        <v>695</v>
      </c>
    </row>
    <row r="102" spans="33:42" x14ac:dyDescent="0.25">
      <c r="AG102" t="str">
        <f>VLOOKUP(AH102,AH102:AR193,$AE$1,FALSE)</f>
        <v>Ovládání</v>
      </c>
      <c r="AH102" t="s">
        <v>696</v>
      </c>
      <c r="AI102" t="s">
        <v>697</v>
      </c>
      <c r="AJ102" t="s">
        <v>698</v>
      </c>
      <c r="AK102" t="s">
        <v>699</v>
      </c>
      <c r="AL102" t="s">
        <v>700</v>
      </c>
      <c r="AM102" t="s">
        <v>701</v>
      </c>
      <c r="AN102" t="s">
        <v>702</v>
      </c>
      <c r="AO102" t="s">
        <v>703</v>
      </c>
      <c r="AP102" t="s">
        <v>704</v>
      </c>
    </row>
    <row r="103" spans="33:42" x14ac:dyDescent="0.25">
      <c r="AG103" t="str">
        <f>VLOOKUP(AH103,AH103:AR194,$AE$1,FALSE)</f>
        <v>ručně</v>
      </c>
      <c r="AH103" t="s">
        <v>705</v>
      </c>
      <c r="AI103" t="s">
        <v>706</v>
      </c>
      <c r="AJ103" t="s">
        <v>707</v>
      </c>
      <c r="AK103" t="s">
        <v>708</v>
      </c>
      <c r="AL103" t="s">
        <v>709</v>
      </c>
      <c r="AM103" t="s">
        <v>707</v>
      </c>
      <c r="AN103" t="s">
        <v>710</v>
      </c>
      <c r="AO103" t="s">
        <v>711</v>
      </c>
      <c r="AP103" t="s">
        <v>712</v>
      </c>
    </row>
    <row r="104" spans="33:42" ht="24.75" customHeight="1" x14ac:dyDescent="0.25">
      <c r="AG104" t="str">
        <f>VLOOKUP(AH104,AH104:AR195,$AE$1,FALSE)</f>
        <v>elektricky</v>
      </c>
      <c r="AH104" t="s">
        <v>713</v>
      </c>
      <c r="AI104" t="s">
        <v>714</v>
      </c>
      <c r="AJ104" t="s">
        <v>715</v>
      </c>
      <c r="AK104" t="s">
        <v>716</v>
      </c>
      <c r="AL104" t="s">
        <v>717</v>
      </c>
      <c r="AM104" t="s">
        <v>715</v>
      </c>
      <c r="AN104" t="s">
        <v>718</v>
      </c>
      <c r="AO104" t="s">
        <v>719</v>
      </c>
      <c r="AP104" t="s">
        <v>537</v>
      </c>
    </row>
    <row r="105" spans="33:42" x14ac:dyDescent="0.25">
      <c r="AG105" t="str">
        <f>VLOOKUP(AH105,AH105:AR196,$AE$1,FALSE)</f>
        <v>řetězovým převodem</v>
      </c>
      <c r="AH105" t="s">
        <v>720</v>
      </c>
      <c r="AI105" t="s">
        <v>721</v>
      </c>
      <c r="AJ105" t="s">
        <v>722</v>
      </c>
      <c r="AK105" t="s">
        <v>723</v>
      </c>
      <c r="AL105" t="s">
        <v>724</v>
      </c>
      <c r="AM105" t="s">
        <v>725</v>
      </c>
      <c r="AN105" t="s">
        <v>726</v>
      </c>
      <c r="AO105" t="s">
        <v>727</v>
      </c>
      <c r="AP105" t="s">
        <v>728</v>
      </c>
    </row>
    <row r="107" spans="33:42" x14ac:dyDescent="0.25">
      <c r="AG107" t="str">
        <f>VLOOKUP(AH107,AH107:AR198,$AE$1,FALSE)</f>
        <v>Umístění motoru</v>
      </c>
      <c r="AH107" t="s">
        <v>729</v>
      </c>
      <c r="AI107" t="s">
        <v>730</v>
      </c>
      <c r="AJ107" t="s">
        <v>731</v>
      </c>
      <c r="AK107" t="s">
        <v>732</v>
      </c>
      <c r="AL107" t="s">
        <v>733</v>
      </c>
      <c r="AM107" t="s">
        <v>734</v>
      </c>
      <c r="AN107" t="s">
        <v>735</v>
      </c>
      <c r="AO107" t="s">
        <v>736</v>
      </c>
      <c r="AP107" t="s">
        <v>737</v>
      </c>
    </row>
    <row r="108" spans="33:42" x14ac:dyDescent="0.25">
      <c r="AG108" t="str">
        <f>VLOOKUP(AH108,AH108:AR199,$AE$1,FALSE)</f>
        <v>Na levé straně</v>
      </c>
      <c r="AH108" t="s">
        <v>738</v>
      </c>
      <c r="AI108" t="s">
        <v>739</v>
      </c>
      <c r="AJ108" t="s">
        <v>740</v>
      </c>
      <c r="AK108" t="s">
        <v>741</v>
      </c>
      <c r="AL108" t="s">
        <v>742</v>
      </c>
      <c r="AM108" t="s">
        <v>743</v>
      </c>
      <c r="AN108" t="s">
        <v>744</v>
      </c>
      <c r="AO108" t="s">
        <v>745</v>
      </c>
      <c r="AP108" t="s">
        <v>746</v>
      </c>
    </row>
    <row r="109" spans="33:42" x14ac:dyDescent="0.25">
      <c r="AG109" t="str">
        <f>VLOOKUP(AH109,AH109:AR200,$AE$1,FALSE)</f>
        <v>Na pravé straně</v>
      </c>
      <c r="AH109" t="s">
        <v>64</v>
      </c>
      <c r="AI109" t="s">
        <v>747</v>
      </c>
      <c r="AJ109" t="s">
        <v>748</v>
      </c>
      <c r="AK109" t="s">
        <v>749</v>
      </c>
      <c r="AL109" t="s">
        <v>750</v>
      </c>
      <c r="AM109" t="s">
        <v>751</v>
      </c>
      <c r="AN109" t="s">
        <v>752</v>
      </c>
      <c r="AO109" t="s">
        <v>753</v>
      </c>
      <c r="AP109" t="s">
        <v>754</v>
      </c>
    </row>
    <row r="111" spans="33:42" x14ac:dyDescent="0.25">
      <c r="AG111" t="str">
        <f>VLOOKUP(AH111,AH111:AR202,$AE$1,FALSE)</f>
        <v>Variantní  montáž pružin</v>
      </c>
      <c r="AH111" t="s">
        <v>755</v>
      </c>
      <c r="AI111" t="s">
        <v>756</v>
      </c>
      <c r="AJ111" t="s">
        <v>757</v>
      </c>
      <c r="AK111" t="s">
        <v>758</v>
      </c>
      <c r="AL111" t="s">
        <v>759</v>
      </c>
      <c r="AM111" t="s">
        <v>760</v>
      </c>
    </row>
    <row r="112" spans="33:42" x14ac:dyDescent="0.25">
      <c r="AG112" t="str">
        <f>VLOOKUP(AH112,AH112:AR203,$AE$1,FALSE)</f>
        <v>když B&lt;2000 - STP-1 pružina (SPR-1)</v>
      </c>
      <c r="AH112" t="s">
        <v>761</v>
      </c>
      <c r="AI112" t="s">
        <v>762</v>
      </c>
      <c r="AJ112" t="s">
        <v>763</v>
      </c>
      <c r="AK112" t="s">
        <v>764</v>
      </c>
      <c r="AL112" t="s">
        <v>765</v>
      </c>
      <c r="AM112" t="s">
        <v>766</v>
      </c>
    </row>
    <row r="113" spans="33:42" x14ac:dyDescent="0.25">
      <c r="AG113" t="str">
        <f>VLOOKUP(AH113,AH113:AR204,$AE$1,FALSE)</f>
        <v>když 2000&gt;=W&lt;6000 - STP-2 pružiny (SPR-2)</v>
      </c>
      <c r="AH113" t="s">
        <v>767</v>
      </c>
      <c r="AI113" t="s">
        <v>768</v>
      </c>
      <c r="AJ113" t="s">
        <v>769</v>
      </c>
      <c r="AK113" t="s">
        <v>770</v>
      </c>
      <c r="AL113" t="s">
        <v>771</v>
      </c>
      <c r="AM113" t="s">
        <v>772</v>
      </c>
    </row>
    <row r="114" spans="33:42" x14ac:dyDescent="0.25">
      <c r="AG114" t="str">
        <f>VLOOKUP(AH114,AH114:AR205,$AE$1,FALSE)</f>
        <v>když W&gt;=6000 = STP-4 pružiny (SPR-4)</v>
      </c>
      <c r="AH114" t="s">
        <v>773</v>
      </c>
      <c r="AI114" t="s">
        <v>774</v>
      </c>
      <c r="AJ114" t="s">
        <v>775</v>
      </c>
      <c r="AK114" t="s">
        <v>776</v>
      </c>
      <c r="AL114" t="s">
        <v>777</v>
      </c>
      <c r="AM114" t="s">
        <v>778</v>
      </c>
    </row>
    <row r="116" spans="33:42" x14ac:dyDescent="0.25">
      <c r="AG116" t="str">
        <f>VLOOKUP(AH116,AH116:AR207,$AE$1,FALSE)</f>
        <v>Montážní plocha pro motor</v>
      </c>
      <c r="AH116" t="s">
        <v>779</v>
      </c>
      <c r="AI116" t="s">
        <v>780</v>
      </c>
      <c r="AJ116" t="s">
        <v>781</v>
      </c>
      <c r="AK116" t="s">
        <v>782</v>
      </c>
      <c r="AL116" t="s">
        <v>783</v>
      </c>
      <c r="AM116" t="s">
        <v>784</v>
      </c>
      <c r="AN116" t="s">
        <v>785</v>
      </c>
      <c r="AO116" t="s">
        <v>786</v>
      </c>
      <c r="AP116" t="s">
        <v>787</v>
      </c>
    </row>
    <row r="118" spans="33:42" x14ac:dyDescent="0.25">
      <c r="AG118" t="str">
        <f>VLOOKUP(AH118,AH118:AR209,$AE$1,FALSE)</f>
        <v>Typ panelu</v>
      </c>
      <c r="AH118" t="s">
        <v>788</v>
      </c>
      <c r="AI118" t="s">
        <v>789</v>
      </c>
      <c r="AJ118" t="s">
        <v>790</v>
      </c>
      <c r="AK118" t="s">
        <v>791</v>
      </c>
      <c r="AL118" t="s">
        <v>792</v>
      </c>
      <c r="AM118" t="s">
        <v>793</v>
      </c>
      <c r="AN118" t="s">
        <v>794</v>
      </c>
      <c r="AO118" t="s">
        <v>795</v>
      </c>
      <c r="AP118" t="s">
        <v>796</v>
      </c>
    </row>
    <row r="119" spans="33:42" x14ac:dyDescent="0.25">
      <c r="AG119" t="str">
        <f>VLOOKUP(AH119,AH119:AR210,$AE$1,FALSE)</f>
        <v>40mm</v>
      </c>
      <c r="AH119" t="s">
        <v>797</v>
      </c>
      <c r="AI119" t="s">
        <v>797</v>
      </c>
      <c r="AJ119" t="s">
        <v>797</v>
      </c>
      <c r="AK119" t="s">
        <v>797</v>
      </c>
      <c r="AL119" t="s">
        <v>797</v>
      </c>
      <c r="AM119" t="s">
        <v>797</v>
      </c>
      <c r="AN119" t="s">
        <v>798</v>
      </c>
      <c r="AO119" t="s">
        <v>797</v>
      </c>
      <c r="AP119" t="s">
        <v>799</v>
      </c>
    </row>
    <row r="120" spans="33:42" x14ac:dyDescent="0.25">
      <c r="AG120" t="str">
        <f>VLOOKUP(AH120,AH120:AR211,$AE$1,FALSE)</f>
        <v>80mm</v>
      </c>
      <c r="AH120" t="s">
        <v>800</v>
      </c>
      <c r="AI120" t="s">
        <v>800</v>
      </c>
      <c r="AJ120" t="s">
        <v>800</v>
      </c>
      <c r="AK120" t="s">
        <v>800</v>
      </c>
      <c r="AL120" t="s">
        <v>800</v>
      </c>
      <c r="AM120" t="s">
        <v>800</v>
      </c>
      <c r="AN120" t="s">
        <v>801</v>
      </c>
      <c r="AO120" t="s">
        <v>800</v>
      </c>
      <c r="AP120" t="s">
        <v>802</v>
      </c>
    </row>
    <row r="122" spans="33:42" x14ac:dyDescent="0.25">
      <c r="AG122" t="str">
        <f>VLOOKUP(AH122,AH122:AR213,$AE$1,FALSE)</f>
        <v>Když 1 1/4" hřídel, tak překlad automaticky HL+360 a osa hřídele HL+210 mm</v>
      </c>
      <c r="AH122" t="s">
        <v>803</v>
      </c>
      <c r="AI122" t="s">
        <v>804</v>
      </c>
      <c r="AJ122" t="s">
        <v>805</v>
      </c>
      <c r="AK122" t="s">
        <v>806</v>
      </c>
      <c r="AL122" t="s">
        <v>807</v>
      </c>
      <c r="AM122" t="s">
        <v>808</v>
      </c>
      <c r="AN122" t="s">
        <v>809</v>
      </c>
      <c r="AO122" t="s">
        <v>810</v>
      </c>
      <c r="AP122" t="s">
        <v>811</v>
      </c>
    </row>
    <row r="124" spans="33:42" x14ac:dyDescent="0.25">
      <c r="AG124" t="str">
        <f>VLOOKUP(AH124,AH124:AR215,$AE$1,FALSE)</f>
        <v>Typ vedení</v>
      </c>
      <c r="AH124" t="s">
        <v>812</v>
      </c>
      <c r="AI124" t="s">
        <v>813</v>
      </c>
      <c r="AJ124" t="s">
        <v>814</v>
      </c>
      <c r="AK124" t="s">
        <v>815</v>
      </c>
      <c r="AL124" t="s">
        <v>816</v>
      </c>
      <c r="AM124" t="s">
        <v>817</v>
      </c>
      <c r="AN124" t="s">
        <v>818</v>
      </c>
      <c r="AO124" t="s">
        <v>819</v>
      </c>
      <c r="AP124" t="s">
        <v>820</v>
      </c>
    </row>
    <row r="125" spans="33:42" x14ac:dyDescent="0.25">
      <c r="AG125" t="str">
        <f>VLOOKUP(AH125,AH125:AR216,$AE$1,FALSE)</f>
        <v>2"</v>
      </c>
      <c r="AH125" t="s">
        <v>821</v>
      </c>
      <c r="AI125" t="s">
        <v>821</v>
      </c>
      <c r="AJ125" t="s">
        <v>821</v>
      </c>
      <c r="AK125" t="s">
        <v>821</v>
      </c>
      <c r="AL125" t="s">
        <v>821</v>
      </c>
      <c r="AM125" t="s">
        <v>821</v>
      </c>
      <c r="AN125" t="s">
        <v>821</v>
      </c>
      <c r="AO125" t="s">
        <v>821</v>
      </c>
      <c r="AP125" t="s">
        <v>821</v>
      </c>
    </row>
    <row r="126" spans="33:42" x14ac:dyDescent="0.25">
      <c r="AG126" t="str">
        <f>VLOOKUP(AH126,AH126:AR217,$AE$1,FALSE)</f>
        <v>3"</v>
      </c>
      <c r="AH126" t="s">
        <v>822</v>
      </c>
      <c r="AI126" t="s">
        <v>822</v>
      </c>
      <c r="AJ126" t="s">
        <v>822</v>
      </c>
      <c r="AK126" t="s">
        <v>822</v>
      </c>
      <c r="AL126" t="s">
        <v>822</v>
      </c>
      <c r="AM126" t="s">
        <v>822</v>
      </c>
      <c r="AN126" t="s">
        <v>822</v>
      </c>
      <c r="AO126" t="s">
        <v>822</v>
      </c>
      <c r="AP126" t="s">
        <v>822</v>
      </c>
    </row>
    <row r="128" spans="33:42" x14ac:dyDescent="0.25">
      <c r="AG128" t="str">
        <f>VLOOKUP(AH128,AH128:AR219,$AE$1,FALSE)</f>
        <v>Úhel</v>
      </c>
      <c r="AH128" t="s">
        <v>823</v>
      </c>
      <c r="AI128" t="s">
        <v>824</v>
      </c>
      <c r="AJ128" t="s">
        <v>825</v>
      </c>
      <c r="AK128" t="s">
        <v>826</v>
      </c>
      <c r="AL128" t="s">
        <v>824</v>
      </c>
      <c r="AM128" t="s">
        <v>827</v>
      </c>
      <c r="AN128" t="s">
        <v>828</v>
      </c>
      <c r="AO128" t="s">
        <v>829</v>
      </c>
      <c r="AP128" t="s">
        <v>830</v>
      </c>
    </row>
    <row r="130" spans="33:33" x14ac:dyDescent="0.25">
      <c r="AG130" s="184" t="s">
        <v>831</v>
      </c>
    </row>
    <row r="131" spans="33:33" x14ac:dyDescent="0.25">
      <c r="AG131" t="s">
        <v>832</v>
      </c>
    </row>
    <row r="132" spans="33:33" x14ac:dyDescent="0.25">
      <c r="AG132" t="s">
        <v>833</v>
      </c>
    </row>
    <row r="133" spans="33:33" x14ac:dyDescent="0.25">
      <c r="AG133" t="s">
        <v>834</v>
      </c>
    </row>
    <row r="134" spans="33:33" x14ac:dyDescent="0.25">
      <c r="AG134" t="s">
        <v>835</v>
      </c>
    </row>
    <row r="373" spans="34:73" x14ac:dyDescent="0.25"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</row>
    <row r="384" spans="34:73" x14ac:dyDescent="0.25"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</row>
    <row r="441" spans="34:73" x14ac:dyDescent="0.25"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</row>
    <row r="442" spans="34:73" x14ac:dyDescent="0.25"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</row>
    <row r="446" spans="34:73" x14ac:dyDescent="0.25"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</row>
  </sheetData>
  <sheetProtection password="996F" sheet="1" objects="1" selectLockedCells="1"/>
  <mergeCells count="49">
    <mergeCell ref="V64:AB66"/>
    <mergeCell ref="M65:N65"/>
    <mergeCell ref="V67:Y68"/>
    <mergeCell ref="AA67:AB67"/>
    <mergeCell ref="AA68:AB68"/>
    <mergeCell ref="M61:N61"/>
    <mergeCell ref="R61:S61"/>
    <mergeCell ref="T61:U61"/>
    <mergeCell ref="V61:W61"/>
    <mergeCell ref="X61:Y61"/>
    <mergeCell ref="R62:U63"/>
    <mergeCell ref="V62:AB63"/>
    <mergeCell ref="B39:C39"/>
    <mergeCell ref="E41:F41"/>
    <mergeCell ref="R49:AB50"/>
    <mergeCell ref="R52:AB53"/>
    <mergeCell ref="R54:AB55"/>
    <mergeCell ref="R60:S60"/>
    <mergeCell ref="T60:U60"/>
    <mergeCell ref="V60:W60"/>
    <mergeCell ref="X60:Y60"/>
    <mergeCell ref="U21:U23"/>
    <mergeCell ref="H27:H28"/>
    <mergeCell ref="Y30:AA30"/>
    <mergeCell ref="C32:C33"/>
    <mergeCell ref="E32:F33"/>
    <mergeCell ref="H32:H33"/>
    <mergeCell ref="Q32:Q33"/>
    <mergeCell ref="B17:B19"/>
    <mergeCell ref="R17:R18"/>
    <mergeCell ref="T17:T20"/>
    <mergeCell ref="C19:C20"/>
    <mergeCell ref="S19:S20"/>
    <mergeCell ref="B21:B28"/>
    <mergeCell ref="T21:T25"/>
    <mergeCell ref="S12:S13"/>
    <mergeCell ref="Q13:Q14"/>
    <mergeCell ref="R13:R14"/>
    <mergeCell ref="C15:C17"/>
    <mergeCell ref="H15:H18"/>
    <mergeCell ref="R15:R16"/>
    <mergeCell ref="S15:S17"/>
    <mergeCell ref="X2:AB3"/>
    <mergeCell ref="X4:AB4"/>
    <mergeCell ref="K7:M7"/>
    <mergeCell ref="R7:S7"/>
    <mergeCell ref="K9:M9"/>
    <mergeCell ref="D11:F11"/>
    <mergeCell ref="K11:M11"/>
  </mergeCells>
  <conditionalFormatting sqref="R7:S7">
    <cfRule type="expression" dxfId="1" priority="1" stopIfTrue="1">
      <formula>AND(OR($K$7=$AG$103,K7=""))</formula>
    </cfRule>
  </conditionalFormatting>
  <conditionalFormatting sqref="K3 K5">
    <cfRule type="cellIs" dxfId="0" priority="2" stopIfTrue="1" operator="equal">
      <formula>0</formula>
    </cfRule>
  </conditionalFormatting>
  <dataValidations count="7">
    <dataValidation type="list" allowBlank="1" showInputMessage="1" showErrorMessage="1" sqref="R7:S7">
      <formula1>$AG$108:$AG$109</formula1>
    </dataValidation>
    <dataValidation type="list" allowBlank="1" showInputMessage="1" showErrorMessage="1" sqref="K7">
      <formula1>$AG$103:$AG$105</formula1>
    </dataValidation>
    <dataValidation type="list" allowBlank="1" showInputMessage="1" showErrorMessage="1" sqref="E5">
      <formula1>$AD$3:$AD$11</formula1>
    </dataValidation>
    <dataValidation type="custom" allowBlank="1" showInputMessage="1" showErrorMessage="1" error="W max 7000 mm" sqref="K3">
      <formula1>IF(K3&gt;7000,FALSE,TRUE)</formula1>
    </dataValidation>
    <dataValidation type="custom" allowBlank="1" showInputMessage="1" showErrorMessage="1" error="H max 3600 mm" sqref="K5">
      <formula1>IF(K5&gt;3600,FALSE,TRUE)</formula1>
    </dataValidation>
    <dataValidation type="list" allowBlank="1" showInputMessage="1" showErrorMessage="1" sqref="K11:M11">
      <formula1>AG130:AG134</formula1>
    </dataValidation>
    <dataValidation type="list" allowBlank="1" showInputMessage="1" showErrorMessage="1" sqref="K9:M9">
      <formula1>AG119:AG120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8" scale="70" orientation="landscape" r:id="rId1"/>
  <colBreaks count="1" manualBreakCount="1">
    <brk id="29" max="6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29</xdr:col>
                <xdr:colOff>0</xdr:colOff>
                <xdr:row>68</xdr:row>
                <xdr:rowOff>0</xdr:rowOff>
              </from>
              <to>
                <xdr:col>30</xdr:col>
                <xdr:colOff>0</xdr:colOff>
                <xdr:row>68</xdr:row>
                <xdr:rowOff>9525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49"/>
  <sheetViews>
    <sheetView showGridLines="0" topLeftCell="A8" workbookViewId="0">
      <selection activeCell="H42" sqref="H42:I49"/>
    </sheetView>
  </sheetViews>
  <sheetFormatPr defaultRowHeight="15" x14ac:dyDescent="0.25"/>
  <sheetData>
    <row r="1" spans="1:10" x14ac:dyDescent="0.25">
      <c r="A1" s="185"/>
      <c r="B1" s="186"/>
      <c r="C1" s="186"/>
      <c r="D1" s="186"/>
      <c r="E1" s="186"/>
      <c r="F1" s="186"/>
      <c r="G1" s="186"/>
      <c r="H1" s="186"/>
      <c r="I1" s="187"/>
      <c r="J1" s="188"/>
    </row>
    <row r="2" spans="1:10" x14ac:dyDescent="0.25">
      <c r="A2" s="189"/>
      <c r="B2" s="82"/>
      <c r="C2" s="82"/>
      <c r="D2" s="82"/>
      <c r="E2" s="82"/>
      <c r="F2" s="82"/>
      <c r="G2" s="82"/>
      <c r="H2" s="82"/>
      <c r="I2" s="190"/>
      <c r="J2" s="188"/>
    </row>
    <row r="3" spans="1:10" x14ac:dyDescent="0.25">
      <c r="A3" s="189"/>
      <c r="B3" s="82"/>
      <c r="C3" s="191"/>
      <c r="D3" s="82"/>
      <c r="E3" s="82"/>
      <c r="F3" s="82"/>
      <c r="G3" s="82"/>
      <c r="H3" s="82"/>
      <c r="I3" s="190"/>
      <c r="J3" s="188"/>
    </row>
    <row r="4" spans="1:10" x14ac:dyDescent="0.25">
      <c r="A4" s="189"/>
      <c r="B4" s="87"/>
      <c r="C4" s="82"/>
      <c r="D4" s="82"/>
      <c r="E4" s="82"/>
      <c r="F4" s="82"/>
      <c r="G4" s="82"/>
      <c r="H4" s="82"/>
      <c r="I4" s="190"/>
      <c r="J4" s="188"/>
    </row>
    <row r="5" spans="1:10" x14ac:dyDescent="0.25">
      <c r="A5" s="189"/>
      <c r="B5" s="82"/>
      <c r="C5" s="82"/>
      <c r="D5" s="82"/>
      <c r="E5" s="82"/>
      <c r="F5" s="82"/>
      <c r="G5" s="82"/>
      <c r="H5" s="82"/>
      <c r="I5" s="190"/>
      <c r="J5" s="188"/>
    </row>
    <row r="6" spans="1:10" x14ac:dyDescent="0.25">
      <c r="A6" s="192"/>
      <c r="B6" s="82"/>
      <c r="C6" s="82"/>
      <c r="D6" s="82"/>
      <c r="E6" s="82"/>
      <c r="F6" s="82"/>
      <c r="G6" s="82"/>
      <c r="H6" s="82"/>
      <c r="I6" s="190"/>
      <c r="J6" s="188"/>
    </row>
    <row r="7" spans="1:10" x14ac:dyDescent="0.25">
      <c r="A7" s="66" t="str">
        <f>FSL_350!B17</f>
        <v>A= 255</v>
      </c>
      <c r="B7" s="80"/>
      <c r="C7" s="82"/>
      <c r="D7" s="82"/>
      <c r="E7" s="82"/>
      <c r="F7" s="82"/>
      <c r="G7" s="82"/>
      <c r="H7" s="82"/>
      <c r="I7" s="190"/>
      <c r="J7" s="188"/>
    </row>
    <row r="8" spans="1:10" x14ac:dyDescent="0.25">
      <c r="A8" s="66"/>
      <c r="B8" s="80"/>
      <c r="C8" s="82"/>
      <c r="D8" s="82"/>
      <c r="E8" s="82"/>
      <c r="F8" s="82"/>
      <c r="G8" s="82"/>
      <c r="H8" s="82"/>
      <c r="I8" s="190"/>
      <c r="J8" s="188"/>
    </row>
    <row r="9" spans="1:10" ht="15" customHeight="1" x14ac:dyDescent="0.25">
      <c r="A9" s="66"/>
      <c r="B9" s="80"/>
      <c r="C9" s="82"/>
      <c r="D9" s="82"/>
      <c r="E9" s="82"/>
      <c r="F9" s="82"/>
      <c r="G9" s="82"/>
      <c r="H9" s="82"/>
      <c r="I9" s="190"/>
      <c r="J9" s="188"/>
    </row>
    <row r="10" spans="1:10" x14ac:dyDescent="0.25">
      <c r="A10" s="66"/>
      <c r="B10" s="80"/>
      <c r="C10" s="82"/>
      <c r="D10" s="82"/>
      <c r="E10" s="82"/>
      <c r="F10" s="82"/>
      <c r="G10" s="82"/>
      <c r="H10" s="82"/>
      <c r="I10" s="190"/>
      <c r="J10" s="188"/>
    </row>
    <row r="11" spans="1:10" x14ac:dyDescent="0.25">
      <c r="A11" s="189"/>
      <c r="B11" s="80"/>
      <c r="C11" s="82"/>
      <c r="D11" s="82"/>
      <c r="E11" s="82"/>
      <c r="F11" s="82"/>
      <c r="G11" s="82"/>
      <c r="H11" s="82"/>
      <c r="I11" s="190"/>
      <c r="J11" s="188"/>
    </row>
    <row r="12" spans="1:10" x14ac:dyDescent="0.25">
      <c r="A12" s="189"/>
      <c r="B12" s="193"/>
      <c r="C12" s="82"/>
      <c r="D12" s="82"/>
      <c r="E12" s="82"/>
      <c r="F12" s="82"/>
      <c r="G12" s="82"/>
      <c r="H12" s="82"/>
      <c r="I12" s="190"/>
      <c r="J12" s="188"/>
    </row>
    <row r="13" spans="1:10" x14ac:dyDescent="0.25">
      <c r="A13" s="189"/>
      <c r="B13" s="82"/>
      <c r="C13" s="82"/>
      <c r="D13" s="82"/>
      <c r="E13" s="82"/>
      <c r="F13" s="82"/>
      <c r="G13" s="82"/>
      <c r="H13" s="82"/>
      <c r="I13" s="190"/>
      <c r="J13" s="188"/>
    </row>
    <row r="14" spans="1:10" x14ac:dyDescent="0.25">
      <c r="A14" s="189"/>
      <c r="B14" s="82"/>
      <c r="C14" s="82"/>
      <c r="D14" s="82"/>
      <c r="E14" s="82"/>
      <c r="F14" s="82"/>
      <c r="G14" s="82"/>
      <c r="H14" s="82"/>
      <c r="I14" s="190"/>
      <c r="J14" s="188"/>
    </row>
    <row r="15" spans="1:10" x14ac:dyDescent="0.25">
      <c r="A15" s="194" t="str">
        <f>FSL_350!B21</f>
        <v xml:space="preserve">H= </v>
      </c>
      <c r="B15" s="82"/>
      <c r="C15" s="82"/>
      <c r="D15" s="82"/>
      <c r="E15" s="82"/>
      <c r="F15" s="82"/>
      <c r="G15" s="82"/>
      <c r="H15" s="82"/>
      <c r="I15" s="190"/>
      <c r="J15" s="188"/>
    </row>
    <row r="16" spans="1:10" x14ac:dyDescent="0.25">
      <c r="A16" s="194"/>
      <c r="B16" s="82"/>
      <c r="C16" s="82"/>
      <c r="D16" s="82"/>
      <c r="E16" s="82"/>
      <c r="F16" s="82"/>
      <c r="G16" s="82"/>
      <c r="H16" s="82"/>
      <c r="I16" s="190"/>
      <c r="J16" s="188"/>
    </row>
    <row r="17" spans="1:10" x14ac:dyDescent="0.25">
      <c r="A17" s="194"/>
      <c r="B17" s="82"/>
      <c r="C17" s="82"/>
      <c r="D17" s="82"/>
      <c r="E17" s="82"/>
      <c r="F17" s="82"/>
      <c r="G17" s="82"/>
      <c r="H17" s="82"/>
      <c r="I17" s="190"/>
      <c r="J17" s="188"/>
    </row>
    <row r="18" spans="1:10" x14ac:dyDescent="0.25">
      <c r="A18" s="194"/>
      <c r="B18" s="82"/>
      <c r="C18" s="82"/>
      <c r="D18" s="82"/>
      <c r="E18" s="82"/>
      <c r="F18" s="82"/>
      <c r="G18" s="82"/>
      <c r="H18" s="82"/>
      <c r="I18" s="190"/>
      <c r="J18" s="188"/>
    </row>
    <row r="19" spans="1:10" x14ac:dyDescent="0.25">
      <c r="A19" s="189"/>
      <c r="B19" s="82"/>
      <c r="C19" s="82"/>
      <c r="D19" s="82"/>
      <c r="E19" s="82"/>
      <c r="F19" s="82"/>
      <c r="G19" s="82"/>
      <c r="H19" s="82"/>
      <c r="I19" s="190"/>
      <c r="J19" s="188"/>
    </row>
    <row r="20" spans="1:10" x14ac:dyDescent="0.25">
      <c r="A20" s="189"/>
      <c r="B20" s="82"/>
      <c r="C20" s="82"/>
      <c r="D20" s="82"/>
      <c r="E20" s="82"/>
      <c r="F20" s="82"/>
      <c r="G20" s="82"/>
      <c r="H20" s="82"/>
      <c r="I20" s="190"/>
      <c r="J20" s="188"/>
    </row>
    <row r="21" spans="1:10" x14ac:dyDescent="0.25">
      <c r="A21" s="189"/>
      <c r="B21" s="82"/>
      <c r="C21" s="82"/>
      <c r="D21" s="82"/>
      <c r="E21" s="82"/>
      <c r="F21" s="82"/>
      <c r="G21" s="82"/>
      <c r="H21" s="82"/>
      <c r="I21" s="190"/>
      <c r="J21" s="188"/>
    </row>
    <row r="22" spans="1:10" x14ac:dyDescent="0.25">
      <c r="A22" s="189"/>
      <c r="B22" s="82"/>
      <c r="C22" s="82"/>
      <c r="D22" s="82"/>
      <c r="E22" s="82"/>
      <c r="F22" s="82"/>
      <c r="G22" s="82"/>
      <c r="H22" s="82"/>
      <c r="I22" s="190"/>
      <c r="J22" s="188"/>
    </row>
    <row r="23" spans="1:10" x14ac:dyDescent="0.25">
      <c r="A23" s="189"/>
      <c r="B23" s="82"/>
      <c r="C23" s="82"/>
      <c r="D23" s="82"/>
      <c r="E23" s="82"/>
      <c r="F23" s="82"/>
      <c r="G23" s="82"/>
      <c r="H23" s="82"/>
      <c r="I23" s="190"/>
      <c r="J23" s="188"/>
    </row>
    <row r="24" spans="1:10" x14ac:dyDescent="0.25">
      <c r="A24" s="189"/>
      <c r="B24" s="82"/>
      <c r="C24" s="82"/>
      <c r="D24" s="82"/>
      <c r="E24" s="82"/>
      <c r="F24" s="82"/>
      <c r="G24" s="82"/>
      <c r="H24" s="82"/>
      <c r="I24" s="190"/>
      <c r="J24" s="188"/>
    </row>
    <row r="25" spans="1:10" x14ac:dyDescent="0.25">
      <c r="A25" s="189"/>
      <c r="B25" s="82"/>
      <c r="C25" s="82"/>
      <c r="D25" s="82"/>
      <c r="E25" s="82"/>
      <c r="F25" s="82"/>
      <c r="G25" s="82"/>
      <c r="H25" s="82"/>
      <c r="I25" s="190"/>
      <c r="J25" s="188"/>
    </row>
    <row r="26" spans="1:10" x14ac:dyDescent="0.25">
      <c r="A26" s="189"/>
      <c r="B26" s="82"/>
      <c r="C26" s="82"/>
      <c r="D26" s="82"/>
      <c r="E26" s="82"/>
      <c r="F26" s="82"/>
      <c r="G26" s="82"/>
      <c r="H26" s="82"/>
      <c r="I26" s="190"/>
      <c r="J26" s="188"/>
    </row>
    <row r="27" spans="1:10" x14ac:dyDescent="0.25">
      <c r="A27" s="189"/>
      <c r="B27" s="195">
        <v>80</v>
      </c>
      <c r="C27" s="82"/>
      <c r="D27" s="87" t="s">
        <v>836</v>
      </c>
      <c r="E27" s="51">
        <f>FSL_350!$E$32</f>
        <v>0</v>
      </c>
      <c r="F27" s="82"/>
      <c r="G27" s="191"/>
      <c r="H27" s="191">
        <v>80</v>
      </c>
      <c r="I27" s="190"/>
      <c r="J27" s="188"/>
    </row>
    <row r="28" spans="1:10" x14ac:dyDescent="0.25">
      <c r="A28" s="189"/>
      <c r="B28" s="82"/>
      <c r="C28" s="82"/>
      <c r="D28" s="82"/>
      <c r="E28" s="82"/>
      <c r="F28" s="191"/>
      <c r="G28" s="82"/>
      <c r="H28" s="82"/>
      <c r="I28" s="190"/>
      <c r="J28" s="188"/>
    </row>
    <row r="29" spans="1:10" x14ac:dyDescent="0.25">
      <c r="A29" s="189"/>
      <c r="B29" s="82"/>
      <c r="C29" s="82"/>
      <c r="D29" s="82"/>
      <c r="E29" s="191"/>
      <c r="F29" s="188"/>
      <c r="G29" s="82"/>
      <c r="H29" s="82"/>
      <c r="I29" s="190"/>
      <c r="J29" s="188"/>
    </row>
    <row r="30" spans="1:10" x14ac:dyDescent="0.25">
      <c r="A30" s="189"/>
      <c r="B30" s="82"/>
      <c r="C30" s="82"/>
      <c r="D30" s="82"/>
      <c r="E30" s="82"/>
      <c r="F30" s="82"/>
      <c r="G30" s="82"/>
      <c r="H30" s="82"/>
      <c r="I30" s="190"/>
      <c r="J30" s="188"/>
    </row>
    <row r="31" spans="1:10" x14ac:dyDescent="0.25">
      <c r="A31" s="189"/>
      <c r="B31" s="82"/>
      <c r="C31" s="82"/>
      <c r="D31" s="82"/>
      <c r="E31" s="82"/>
      <c r="F31" s="82"/>
      <c r="G31" s="82"/>
      <c r="H31" s="82"/>
      <c r="I31" s="190"/>
      <c r="J31" s="188"/>
    </row>
    <row r="32" spans="1:10" x14ac:dyDescent="0.25">
      <c r="A32" s="189"/>
      <c r="B32" s="82"/>
      <c r="C32" s="82"/>
      <c r="D32" s="82"/>
      <c r="E32" s="82"/>
      <c r="F32" s="82"/>
      <c r="G32" s="82"/>
      <c r="H32" s="82"/>
      <c r="I32" s="190"/>
      <c r="J32" s="188"/>
    </row>
    <row r="33" spans="1:9" x14ac:dyDescent="0.25">
      <c r="A33" s="43"/>
      <c r="B33" s="7"/>
      <c r="C33" s="7"/>
      <c r="D33" s="7"/>
      <c r="E33" s="7"/>
      <c r="F33" s="7"/>
      <c r="G33" s="7"/>
      <c r="H33" s="7"/>
      <c r="I33" s="6"/>
    </row>
    <row r="34" spans="1:9" x14ac:dyDescent="0.25">
      <c r="A34" s="43"/>
      <c r="B34" s="7"/>
      <c r="C34" s="7"/>
      <c r="D34" s="7"/>
      <c r="E34" s="7"/>
      <c r="F34" s="7"/>
      <c r="G34" s="7"/>
      <c r="H34" s="7"/>
      <c r="I34" s="6"/>
    </row>
    <row r="35" spans="1:9" x14ac:dyDescent="0.25">
      <c r="A35" s="43"/>
      <c r="B35" s="7"/>
      <c r="C35" s="7"/>
      <c r="D35" s="7"/>
      <c r="E35" s="7"/>
      <c r="F35" s="7"/>
      <c r="G35" s="7"/>
      <c r="H35" s="7"/>
      <c r="I35" s="6"/>
    </row>
    <row r="36" spans="1:9" x14ac:dyDescent="0.25">
      <c r="A36" s="43"/>
      <c r="B36" s="7"/>
      <c r="C36" s="7"/>
      <c r="D36" s="7"/>
      <c r="E36" s="7"/>
      <c r="F36" s="7"/>
      <c r="G36" s="7"/>
      <c r="H36" s="7"/>
      <c r="I36" s="6"/>
    </row>
    <row r="37" spans="1:9" x14ac:dyDescent="0.25">
      <c r="A37" s="43"/>
      <c r="B37" s="7"/>
      <c r="C37" s="7"/>
      <c r="D37" s="7"/>
      <c r="E37" s="7"/>
      <c r="F37" s="7"/>
      <c r="G37" s="7"/>
      <c r="H37" s="7"/>
      <c r="I37" s="6"/>
    </row>
    <row r="38" spans="1:9" x14ac:dyDescent="0.25">
      <c r="A38" s="43"/>
      <c r="B38" s="7"/>
      <c r="C38" s="7"/>
      <c r="D38" s="7"/>
      <c r="E38" s="7"/>
      <c r="F38" s="7"/>
      <c r="G38" s="7"/>
      <c r="H38" s="7"/>
      <c r="I38" s="6"/>
    </row>
    <row r="39" spans="1:9" ht="15.75" thickBot="1" x14ac:dyDescent="0.3">
      <c r="A39" s="43"/>
      <c r="B39" s="7"/>
      <c r="C39" s="7"/>
      <c r="D39" s="7"/>
      <c r="E39" s="7"/>
      <c r="F39" s="7"/>
      <c r="G39" s="7"/>
      <c r="H39" s="7"/>
      <c r="I39" s="6"/>
    </row>
    <row r="40" spans="1:9" x14ac:dyDescent="0.25">
      <c r="A40" s="43"/>
      <c r="B40" s="7"/>
      <c r="C40" s="196" t="str">
        <f>FSL_350!X2</f>
        <v>STANDARDNÍ VEDENÍ POD ÚHLEM (FSL350)</v>
      </c>
      <c r="D40" s="197"/>
      <c r="E40" s="197"/>
      <c r="F40" s="197"/>
      <c r="G40" s="197"/>
      <c r="H40" s="197"/>
      <c r="I40" s="198"/>
    </row>
    <row r="41" spans="1:9" ht="15.75" thickBot="1" x14ac:dyDescent="0.3">
      <c r="A41" s="43"/>
      <c r="B41" s="7"/>
      <c r="C41" s="199"/>
      <c r="D41" s="200"/>
      <c r="E41" s="200"/>
      <c r="F41" s="200"/>
      <c r="G41" s="200"/>
      <c r="H41" s="200"/>
      <c r="I41" s="201"/>
    </row>
    <row r="42" spans="1:9" ht="15.75" thickBot="1" x14ac:dyDescent="0.3">
      <c r="A42" s="43"/>
      <c r="B42" s="7"/>
      <c r="C42" s="202" t="str">
        <f>FSL_350!AG107</f>
        <v>Umístění motoru</v>
      </c>
      <c r="D42" s="203"/>
      <c r="E42" s="196" t="str">
        <f>FSL_350!AG109</f>
        <v>Na pravé straně</v>
      </c>
      <c r="F42" s="197"/>
      <c r="G42" s="198"/>
      <c r="H42" s="204"/>
      <c r="I42" s="204"/>
    </row>
    <row r="43" spans="1:9" ht="15.75" thickBot="1" x14ac:dyDescent="0.3">
      <c r="A43" s="43"/>
      <c r="B43" s="7"/>
      <c r="C43" s="205"/>
      <c r="D43" s="206"/>
      <c r="E43" s="199"/>
      <c r="F43" s="200"/>
      <c r="G43" s="201"/>
      <c r="H43" s="204"/>
      <c r="I43" s="204"/>
    </row>
    <row r="44" spans="1:9" ht="15.75" thickBot="1" x14ac:dyDescent="0.3">
      <c r="A44" s="43"/>
      <c r="B44" s="7"/>
      <c r="C44" s="202" t="str">
        <f>FSL_350!R60</f>
        <v>Sestavil:</v>
      </c>
      <c r="D44" s="203"/>
      <c r="E44" s="207"/>
      <c r="F44" s="207"/>
      <c r="G44" s="207"/>
      <c r="H44" s="204"/>
      <c r="I44" s="204"/>
    </row>
    <row r="45" spans="1:9" ht="15.75" thickBot="1" x14ac:dyDescent="0.3">
      <c r="A45" s="43"/>
      <c r="B45" s="7"/>
      <c r="C45" s="205"/>
      <c r="D45" s="206"/>
      <c r="E45" s="207"/>
      <c r="F45" s="207"/>
      <c r="G45" s="207"/>
      <c r="H45" s="204"/>
      <c r="I45" s="204"/>
    </row>
    <row r="46" spans="1:9" ht="15.75" thickBot="1" x14ac:dyDescent="0.3">
      <c r="A46" s="43"/>
      <c r="B46" s="7"/>
      <c r="C46" s="202" t="str">
        <f>FSL_350!T60</f>
        <v>Upravil:</v>
      </c>
      <c r="D46" s="203"/>
      <c r="E46" s="207"/>
      <c r="F46" s="207"/>
      <c r="G46" s="207"/>
      <c r="H46" s="204"/>
      <c r="I46" s="204"/>
    </row>
    <row r="47" spans="1:9" ht="15.75" thickBot="1" x14ac:dyDescent="0.3">
      <c r="A47" s="43"/>
      <c r="B47" s="7"/>
      <c r="C47" s="205"/>
      <c r="D47" s="206"/>
      <c r="E47" s="207"/>
      <c r="F47" s="207"/>
      <c r="G47" s="207"/>
      <c r="H47" s="204"/>
      <c r="I47" s="204"/>
    </row>
    <row r="48" spans="1:9" ht="15.75" thickBot="1" x14ac:dyDescent="0.3">
      <c r="A48" s="43"/>
      <c r="B48" s="7"/>
      <c r="C48" s="202" t="str">
        <f>FSL_350!Z60</f>
        <v>Datum:</v>
      </c>
      <c r="D48" s="203"/>
      <c r="E48" s="208"/>
      <c r="F48" s="208"/>
      <c r="G48" s="208"/>
      <c r="H48" s="204"/>
      <c r="I48" s="204"/>
    </row>
    <row r="49" spans="1:9" ht="15.75" thickBot="1" x14ac:dyDescent="0.3">
      <c r="A49" s="175"/>
      <c r="B49" s="1"/>
      <c r="C49" s="205"/>
      <c r="D49" s="206"/>
      <c r="E49" s="208"/>
      <c r="F49" s="208"/>
      <c r="G49" s="208"/>
      <c r="H49" s="204"/>
      <c r="I49" s="204"/>
    </row>
  </sheetData>
  <sheetProtection password="996F" sheet="1" objects="1" selectLockedCells="1"/>
  <mergeCells count="13">
    <mergeCell ref="E46:G47"/>
    <mergeCell ref="C48:D49"/>
    <mergeCell ref="E48:G49"/>
    <mergeCell ref="A7:A10"/>
    <mergeCell ref="B7:B11"/>
    <mergeCell ref="A15:A18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49"/>
  <sheetViews>
    <sheetView showGridLines="0" topLeftCell="A8" workbookViewId="0">
      <selection activeCell="H42" sqref="H42:I49"/>
    </sheetView>
  </sheetViews>
  <sheetFormatPr defaultRowHeight="15" x14ac:dyDescent="0.25"/>
  <sheetData>
    <row r="1" spans="1:10" x14ac:dyDescent="0.25">
      <c r="A1" s="185"/>
      <c r="B1" s="186"/>
      <c r="C1" s="186"/>
      <c r="D1" s="186"/>
      <c r="E1" s="186"/>
      <c r="F1" s="186"/>
      <c r="G1" s="186"/>
      <c r="H1" s="186"/>
      <c r="I1" s="187"/>
      <c r="J1" s="188"/>
    </row>
    <row r="2" spans="1:10" x14ac:dyDescent="0.25">
      <c r="A2" s="189"/>
      <c r="B2" s="82"/>
      <c r="C2" s="82"/>
      <c r="D2" s="82"/>
      <c r="E2" s="82"/>
      <c r="F2" s="82"/>
      <c r="G2" s="82"/>
      <c r="H2" s="82"/>
      <c r="I2" s="190"/>
      <c r="J2" s="188"/>
    </row>
    <row r="3" spans="1:10" x14ac:dyDescent="0.25">
      <c r="A3" s="189"/>
      <c r="B3" s="82"/>
      <c r="C3" s="191"/>
      <c r="D3" s="82"/>
      <c r="E3" s="82"/>
      <c r="F3" s="82"/>
      <c r="G3" s="82"/>
      <c r="H3" s="82"/>
      <c r="I3" s="190"/>
      <c r="J3" s="188"/>
    </row>
    <row r="4" spans="1:10" x14ac:dyDescent="0.25">
      <c r="A4" s="189"/>
      <c r="B4" s="87"/>
      <c r="C4" s="82"/>
      <c r="D4" s="82"/>
      <c r="E4" s="82"/>
      <c r="F4" s="82"/>
      <c r="G4" s="82"/>
      <c r="H4" s="82"/>
      <c r="I4" s="190"/>
      <c r="J4" s="188"/>
    </row>
    <row r="5" spans="1:10" x14ac:dyDescent="0.25">
      <c r="A5" s="189"/>
      <c r="B5" s="82"/>
      <c r="C5" s="82"/>
      <c r="D5" s="82"/>
      <c r="E5" s="82"/>
      <c r="F5" s="82"/>
      <c r="G5" s="82"/>
      <c r="H5" s="82"/>
      <c r="I5" s="209" t="str">
        <f>FSL_350!B17</f>
        <v>A= 255</v>
      </c>
      <c r="J5" s="188"/>
    </row>
    <row r="6" spans="1:10" x14ac:dyDescent="0.25">
      <c r="A6" s="192"/>
      <c r="B6" s="82"/>
      <c r="C6" s="82"/>
      <c r="D6" s="82"/>
      <c r="E6" s="82"/>
      <c r="F6" s="82"/>
      <c r="G6" s="82"/>
      <c r="H6" s="82"/>
      <c r="I6" s="209"/>
      <c r="J6" s="188"/>
    </row>
    <row r="7" spans="1:10" x14ac:dyDescent="0.25">
      <c r="A7" s="192"/>
      <c r="B7" s="69"/>
      <c r="C7" s="82"/>
      <c r="D7" s="82"/>
      <c r="E7" s="82"/>
      <c r="F7" s="82"/>
      <c r="G7" s="82"/>
      <c r="H7" s="68"/>
      <c r="I7" s="209"/>
      <c r="J7" s="188"/>
    </row>
    <row r="8" spans="1:10" x14ac:dyDescent="0.25">
      <c r="A8" s="192"/>
      <c r="B8" s="69"/>
      <c r="C8" s="82"/>
      <c r="D8" s="82"/>
      <c r="E8" s="82"/>
      <c r="F8" s="82"/>
      <c r="G8" s="82"/>
      <c r="H8" s="68"/>
      <c r="I8" s="209"/>
      <c r="J8" s="188"/>
    </row>
    <row r="9" spans="1:10" x14ac:dyDescent="0.25">
      <c r="A9" s="192"/>
      <c r="B9" s="69"/>
      <c r="C9" s="82"/>
      <c r="D9" s="82"/>
      <c r="E9" s="82"/>
      <c r="F9" s="82"/>
      <c r="G9" s="82"/>
      <c r="H9" s="68"/>
      <c r="I9" s="210"/>
      <c r="J9" s="188"/>
    </row>
    <row r="10" spans="1:10" x14ac:dyDescent="0.25">
      <c r="A10" s="189"/>
      <c r="B10" s="69"/>
      <c r="C10" s="82"/>
      <c r="D10" s="82"/>
      <c r="E10" s="82"/>
      <c r="F10" s="82"/>
      <c r="G10" s="82"/>
      <c r="H10" s="68"/>
      <c r="I10" s="190"/>
      <c r="J10" s="188"/>
    </row>
    <row r="11" spans="1:10" x14ac:dyDescent="0.25">
      <c r="A11" s="189"/>
      <c r="B11" s="69"/>
      <c r="C11" s="82"/>
      <c r="D11" s="82"/>
      <c r="E11" s="82"/>
      <c r="F11" s="82"/>
      <c r="G11" s="82"/>
      <c r="H11" s="68"/>
      <c r="I11" s="190"/>
      <c r="J11" s="188"/>
    </row>
    <row r="12" spans="1:10" x14ac:dyDescent="0.25">
      <c r="A12" s="189"/>
      <c r="B12" s="193"/>
      <c r="C12" s="82"/>
      <c r="D12" s="82"/>
      <c r="E12" s="82"/>
      <c r="F12" s="82"/>
      <c r="G12" s="82"/>
      <c r="H12" s="82"/>
      <c r="I12" s="190"/>
      <c r="J12" s="188"/>
    </row>
    <row r="13" spans="1:10" x14ac:dyDescent="0.25">
      <c r="A13" s="189"/>
      <c r="B13" s="82"/>
      <c r="C13" s="82"/>
      <c r="D13" s="82"/>
      <c r="E13" s="82"/>
      <c r="F13" s="82"/>
      <c r="G13" s="82"/>
      <c r="H13" s="82"/>
      <c r="I13" s="190"/>
      <c r="J13" s="188"/>
    </row>
    <row r="14" spans="1:10" x14ac:dyDescent="0.25">
      <c r="A14" s="189"/>
      <c r="B14" s="82"/>
      <c r="C14" s="82"/>
      <c r="D14" s="82"/>
      <c r="E14" s="82"/>
      <c r="F14" s="82"/>
      <c r="G14" s="82"/>
      <c r="H14" s="82"/>
      <c r="I14" s="190"/>
      <c r="J14" s="188"/>
    </row>
    <row r="15" spans="1:10" x14ac:dyDescent="0.25">
      <c r="A15" s="211"/>
      <c r="B15" s="82"/>
      <c r="C15" s="82"/>
      <c r="D15" s="82"/>
      <c r="E15" s="82"/>
      <c r="F15" s="82"/>
      <c r="G15" s="82"/>
      <c r="H15" s="82"/>
      <c r="I15" s="209" t="str">
        <f>FSL_350!$B$21</f>
        <v xml:space="preserve">H= </v>
      </c>
      <c r="J15" s="188"/>
    </row>
    <row r="16" spans="1:10" x14ac:dyDescent="0.25">
      <c r="A16" s="211"/>
      <c r="B16" s="82"/>
      <c r="C16" s="82"/>
      <c r="D16" s="82"/>
      <c r="E16" s="82"/>
      <c r="F16" s="82"/>
      <c r="G16" s="82"/>
      <c r="H16" s="82"/>
      <c r="I16" s="209"/>
      <c r="J16" s="188"/>
    </row>
    <row r="17" spans="1:10" x14ac:dyDescent="0.25">
      <c r="A17" s="211"/>
      <c r="B17" s="82"/>
      <c r="C17" s="82"/>
      <c r="D17" s="82"/>
      <c r="E17" s="82"/>
      <c r="F17" s="82"/>
      <c r="G17" s="82"/>
      <c r="H17" s="82"/>
      <c r="I17" s="209"/>
      <c r="J17" s="188"/>
    </row>
    <row r="18" spans="1:10" x14ac:dyDescent="0.25">
      <c r="A18" s="211"/>
      <c r="B18" s="82"/>
      <c r="C18" s="82"/>
      <c r="D18" s="82"/>
      <c r="E18" s="82"/>
      <c r="F18" s="82"/>
      <c r="G18" s="82"/>
      <c r="H18" s="82"/>
      <c r="I18" s="209"/>
      <c r="J18" s="188"/>
    </row>
    <row r="19" spans="1:10" x14ac:dyDescent="0.25">
      <c r="A19" s="189"/>
      <c r="B19" s="82"/>
      <c r="C19" s="82"/>
      <c r="D19" s="82"/>
      <c r="E19" s="82"/>
      <c r="F19" s="82"/>
      <c r="G19" s="82"/>
      <c r="H19" s="82"/>
      <c r="I19" s="190"/>
      <c r="J19" s="188"/>
    </row>
    <row r="20" spans="1:10" x14ac:dyDescent="0.25">
      <c r="A20" s="189"/>
      <c r="B20" s="82"/>
      <c r="C20" s="82"/>
      <c r="D20" s="82"/>
      <c r="E20" s="82"/>
      <c r="F20" s="82"/>
      <c r="G20" s="82"/>
      <c r="H20" s="82"/>
      <c r="I20" s="190"/>
      <c r="J20" s="188"/>
    </row>
    <row r="21" spans="1:10" x14ac:dyDescent="0.25">
      <c r="A21" s="189"/>
      <c r="B21" s="82"/>
      <c r="C21" s="82"/>
      <c r="D21" s="82"/>
      <c r="E21" s="82"/>
      <c r="F21" s="82"/>
      <c r="G21" s="82"/>
      <c r="H21" s="82"/>
      <c r="I21" s="190"/>
      <c r="J21" s="188"/>
    </row>
    <row r="22" spans="1:10" x14ac:dyDescent="0.25">
      <c r="A22" s="189"/>
      <c r="B22" s="82"/>
      <c r="C22" s="82"/>
      <c r="D22" s="82"/>
      <c r="E22" s="82"/>
      <c r="F22" s="82"/>
      <c r="G22" s="82"/>
      <c r="H22" s="82"/>
      <c r="I22" s="190"/>
      <c r="J22" s="188"/>
    </row>
    <row r="23" spans="1:10" x14ac:dyDescent="0.25">
      <c r="A23" s="189"/>
      <c r="B23" s="82"/>
      <c r="C23" s="82"/>
      <c r="D23" s="82"/>
      <c r="E23" s="82"/>
      <c r="F23" s="82"/>
      <c r="G23" s="82"/>
      <c r="H23" s="82"/>
      <c r="I23" s="190"/>
      <c r="J23" s="188"/>
    </row>
    <row r="24" spans="1:10" x14ac:dyDescent="0.25">
      <c r="A24" s="189"/>
      <c r="B24" s="82"/>
      <c r="C24" s="82"/>
      <c r="D24" s="82"/>
      <c r="E24" s="82"/>
      <c r="F24" s="82"/>
      <c r="G24" s="82"/>
      <c r="H24" s="82"/>
      <c r="I24" s="190"/>
      <c r="J24" s="188"/>
    </row>
    <row r="25" spans="1:10" x14ac:dyDescent="0.25">
      <c r="A25" s="189"/>
      <c r="B25" s="82"/>
      <c r="C25" s="82"/>
      <c r="D25" s="82"/>
      <c r="E25" s="82"/>
      <c r="F25" s="82"/>
      <c r="G25" s="82"/>
      <c r="H25" s="82"/>
      <c r="I25" s="190"/>
      <c r="J25" s="188"/>
    </row>
    <row r="26" spans="1:10" x14ac:dyDescent="0.25">
      <c r="A26" s="189"/>
      <c r="B26" s="82"/>
      <c r="C26" s="82"/>
      <c r="D26" s="82"/>
      <c r="E26" s="82"/>
      <c r="F26" s="82"/>
      <c r="G26" s="82"/>
      <c r="H26" s="82"/>
      <c r="I26" s="190"/>
      <c r="J26" s="188"/>
    </row>
    <row r="27" spans="1:10" x14ac:dyDescent="0.25">
      <c r="A27" s="189"/>
      <c r="B27" s="212">
        <v>80</v>
      </c>
      <c r="C27" s="82"/>
      <c r="D27" s="87" t="s">
        <v>836</v>
      </c>
      <c r="E27" s="51">
        <f>FSL_350!$E$32</f>
        <v>0</v>
      </c>
      <c r="F27" s="82"/>
      <c r="G27" s="191"/>
      <c r="H27" s="51">
        <v>80</v>
      </c>
      <c r="I27" s="190"/>
      <c r="J27" s="188"/>
    </row>
    <row r="28" spans="1:10" x14ac:dyDescent="0.25">
      <c r="A28" s="189"/>
      <c r="B28" s="82"/>
      <c r="C28" s="82"/>
      <c r="D28" s="82"/>
      <c r="E28" s="82"/>
      <c r="F28" s="191"/>
      <c r="G28" s="82"/>
      <c r="H28" s="82"/>
      <c r="I28" s="190"/>
      <c r="J28" s="188"/>
    </row>
    <row r="29" spans="1:10" x14ac:dyDescent="0.25">
      <c r="A29" s="189"/>
      <c r="B29" s="82"/>
      <c r="C29" s="82"/>
      <c r="D29" s="82"/>
      <c r="E29" s="191"/>
      <c r="F29" s="188"/>
      <c r="G29" s="82"/>
      <c r="H29" s="82"/>
      <c r="I29" s="190"/>
      <c r="J29" s="188"/>
    </row>
    <row r="30" spans="1:10" x14ac:dyDescent="0.25">
      <c r="A30" s="189"/>
      <c r="B30" s="82"/>
      <c r="C30" s="82"/>
      <c r="D30" s="82"/>
      <c r="E30" s="82"/>
      <c r="F30" s="82"/>
      <c r="G30" s="82"/>
      <c r="H30" s="82"/>
      <c r="I30" s="190"/>
      <c r="J30" s="188"/>
    </row>
    <row r="31" spans="1:10" x14ac:dyDescent="0.25">
      <c r="A31" s="189"/>
      <c r="B31" s="82"/>
      <c r="C31" s="82"/>
      <c r="D31" s="82"/>
      <c r="E31" s="82"/>
      <c r="F31" s="82"/>
      <c r="G31" s="82"/>
      <c r="H31" s="82"/>
      <c r="I31" s="190"/>
      <c r="J31" s="188"/>
    </row>
    <row r="32" spans="1:10" x14ac:dyDescent="0.25">
      <c r="A32" s="189"/>
      <c r="B32" s="82"/>
      <c r="C32" s="82"/>
      <c r="D32" s="82"/>
      <c r="E32" s="82"/>
      <c r="F32" s="82"/>
      <c r="G32" s="82"/>
      <c r="H32" s="82"/>
      <c r="I32" s="190"/>
      <c r="J32" s="188"/>
    </row>
    <row r="33" spans="1:10" x14ac:dyDescent="0.25">
      <c r="A33" s="189"/>
      <c r="B33" s="82"/>
      <c r="C33" s="82"/>
      <c r="D33" s="82"/>
      <c r="E33" s="82"/>
      <c r="F33" s="82"/>
      <c r="G33" s="82"/>
      <c r="H33" s="82"/>
      <c r="I33" s="190"/>
      <c r="J33" s="188"/>
    </row>
    <row r="34" spans="1:10" x14ac:dyDescent="0.25">
      <c r="A34" s="189"/>
      <c r="B34" s="82"/>
      <c r="C34" s="82"/>
      <c r="D34" s="82"/>
      <c r="E34" s="82"/>
      <c r="F34" s="82"/>
      <c r="G34" s="82"/>
      <c r="H34" s="82"/>
      <c r="I34" s="190"/>
      <c r="J34" s="188"/>
    </row>
    <row r="35" spans="1:10" x14ac:dyDescent="0.25">
      <c r="A35" s="43"/>
      <c r="B35" s="7"/>
      <c r="C35" s="7"/>
      <c r="D35" s="7"/>
      <c r="E35" s="7"/>
      <c r="F35" s="7"/>
      <c r="G35" s="7"/>
      <c r="H35" s="7"/>
      <c r="I35" s="6"/>
    </row>
    <row r="36" spans="1:10" x14ac:dyDescent="0.25">
      <c r="A36" s="43"/>
      <c r="B36" s="7"/>
      <c r="C36" s="7"/>
      <c r="D36" s="7"/>
      <c r="E36" s="7"/>
      <c r="F36" s="7"/>
      <c r="G36" s="7"/>
      <c r="H36" s="7"/>
      <c r="I36" s="6"/>
    </row>
    <row r="37" spans="1:10" x14ac:dyDescent="0.25">
      <c r="A37" s="43"/>
      <c r="B37" s="7"/>
      <c r="C37" s="7"/>
      <c r="D37" s="7"/>
      <c r="E37" s="7"/>
      <c r="F37" s="7"/>
      <c r="G37" s="7"/>
      <c r="H37" s="7"/>
      <c r="I37" s="6"/>
    </row>
    <row r="38" spans="1:10" x14ac:dyDescent="0.25">
      <c r="A38" s="43"/>
      <c r="B38" s="7"/>
      <c r="C38" s="7"/>
      <c r="D38" s="7"/>
      <c r="E38" s="7"/>
      <c r="F38" s="7"/>
      <c r="G38" s="7"/>
      <c r="H38" s="7"/>
      <c r="I38" s="6"/>
    </row>
    <row r="39" spans="1:10" ht="15.75" thickBot="1" x14ac:dyDescent="0.3">
      <c r="A39" s="43"/>
      <c r="B39" s="7"/>
      <c r="C39" s="7"/>
      <c r="D39" s="7"/>
      <c r="E39" s="7"/>
      <c r="F39" s="7"/>
      <c r="G39" s="7"/>
      <c r="H39" s="7"/>
      <c r="I39" s="6"/>
    </row>
    <row r="40" spans="1:10" x14ac:dyDescent="0.25">
      <c r="A40" s="43"/>
      <c r="B40" s="7"/>
      <c r="C40" s="196" t="str">
        <f>FSL_350!X2</f>
        <v>STANDARDNÍ VEDENÍ POD ÚHLEM (FSL350)</v>
      </c>
      <c r="D40" s="197"/>
      <c r="E40" s="197"/>
      <c r="F40" s="197"/>
      <c r="G40" s="197"/>
      <c r="H40" s="197"/>
      <c r="I40" s="198"/>
    </row>
    <row r="41" spans="1:10" ht="15.75" thickBot="1" x14ac:dyDescent="0.3">
      <c r="A41" s="43"/>
      <c r="B41" s="7"/>
      <c r="C41" s="199"/>
      <c r="D41" s="200"/>
      <c r="E41" s="200"/>
      <c r="F41" s="200"/>
      <c r="G41" s="200"/>
      <c r="H41" s="200"/>
      <c r="I41" s="201"/>
    </row>
    <row r="42" spans="1:10" ht="15.75" thickBot="1" x14ac:dyDescent="0.3">
      <c r="A42" s="43"/>
      <c r="B42" s="7"/>
      <c r="C42" s="202" t="str">
        <f>FSL_350!AG107</f>
        <v>Umístění motoru</v>
      </c>
      <c r="D42" s="203"/>
      <c r="E42" s="196" t="str">
        <f>FSL_350!AG108</f>
        <v>Na levé straně</v>
      </c>
      <c r="F42" s="197"/>
      <c r="G42" s="198"/>
      <c r="H42" s="204"/>
      <c r="I42" s="204"/>
    </row>
    <row r="43" spans="1:10" ht="15.75" thickBot="1" x14ac:dyDescent="0.3">
      <c r="A43" s="43"/>
      <c r="B43" s="7"/>
      <c r="C43" s="205"/>
      <c r="D43" s="206"/>
      <c r="E43" s="199"/>
      <c r="F43" s="200"/>
      <c r="G43" s="201"/>
      <c r="H43" s="204"/>
      <c r="I43" s="204"/>
    </row>
    <row r="44" spans="1:10" ht="15.75" thickBot="1" x14ac:dyDescent="0.3">
      <c r="A44" s="43"/>
      <c r="B44" s="7"/>
      <c r="C44" s="202" t="str">
        <f>FSL_350!R60</f>
        <v>Sestavil:</v>
      </c>
      <c r="D44" s="203"/>
      <c r="E44" s="207"/>
      <c r="F44" s="207"/>
      <c r="G44" s="207"/>
      <c r="H44" s="204"/>
      <c r="I44" s="204"/>
    </row>
    <row r="45" spans="1:10" ht="15.75" thickBot="1" x14ac:dyDescent="0.3">
      <c r="A45" s="43"/>
      <c r="B45" s="7"/>
      <c r="C45" s="205"/>
      <c r="D45" s="206"/>
      <c r="E45" s="207"/>
      <c r="F45" s="207"/>
      <c r="G45" s="207"/>
      <c r="H45" s="204"/>
      <c r="I45" s="204"/>
    </row>
    <row r="46" spans="1:10" ht="15.75" thickBot="1" x14ac:dyDescent="0.3">
      <c r="A46" s="43"/>
      <c r="B46" s="7"/>
      <c r="C46" s="202" t="str">
        <f>FSL_350!T60</f>
        <v>Upravil:</v>
      </c>
      <c r="D46" s="203"/>
      <c r="E46" s="207"/>
      <c r="F46" s="207"/>
      <c r="G46" s="207"/>
      <c r="H46" s="204"/>
      <c r="I46" s="204"/>
    </row>
    <row r="47" spans="1:10" ht="15.75" thickBot="1" x14ac:dyDescent="0.3">
      <c r="A47" s="43"/>
      <c r="B47" s="7"/>
      <c r="C47" s="205"/>
      <c r="D47" s="206"/>
      <c r="E47" s="207"/>
      <c r="F47" s="207"/>
      <c r="G47" s="207"/>
      <c r="H47" s="204"/>
      <c r="I47" s="204"/>
    </row>
    <row r="48" spans="1:10" ht="15.75" thickBot="1" x14ac:dyDescent="0.3">
      <c r="A48" s="43"/>
      <c r="B48" s="7"/>
      <c r="C48" s="202" t="str">
        <f>FSL_350!Z60</f>
        <v>Datum:</v>
      </c>
      <c r="D48" s="203"/>
      <c r="E48" s="208"/>
      <c r="F48" s="208"/>
      <c r="G48" s="208"/>
      <c r="H48" s="204"/>
      <c r="I48" s="204"/>
    </row>
    <row r="49" spans="1:9" ht="15.75" thickBot="1" x14ac:dyDescent="0.3">
      <c r="A49" s="175"/>
      <c r="B49" s="1"/>
      <c r="C49" s="205"/>
      <c r="D49" s="206"/>
      <c r="E49" s="208"/>
      <c r="F49" s="208"/>
      <c r="G49" s="208"/>
      <c r="H49" s="204"/>
      <c r="I49" s="204"/>
    </row>
  </sheetData>
  <sheetProtection password="996F" sheet="1" objects="1" selectLockedCells="1"/>
  <mergeCells count="13">
    <mergeCell ref="E46:G47"/>
    <mergeCell ref="C48:D49"/>
    <mergeCell ref="E48:G49"/>
    <mergeCell ref="I5:I8"/>
    <mergeCell ref="H7:H11"/>
    <mergeCell ref="I15:I18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FSL_350</vt:lpstr>
      <vt:lpstr>SW-R FSL350</vt:lpstr>
      <vt:lpstr>SW-L FSL350</vt:lpstr>
      <vt:lpstr>FSL_350!Oblast_tisku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Hordina, Josef</dc:creator>
  <cp:lastModifiedBy>Hordina, Josef</cp:lastModifiedBy>
  <dcterms:created xsi:type="dcterms:W3CDTF">2019-11-20T09:51:02Z</dcterms:created>
  <dcterms:modified xsi:type="dcterms:W3CDTF">2019-11-20T09:51:03Z</dcterms:modified>
</cp:coreProperties>
</file>